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codeName="ThisWorkbook" checkCompatibility="1" autoCompressPictures="0"/>
  <mc:AlternateContent xmlns:mc="http://schemas.openxmlformats.org/markup-compatibility/2006">
    <mc:Choice Requires="x15">
      <x15ac:absPath xmlns:x15ac="http://schemas.microsoft.com/office/spreadsheetml/2010/11/ac" url="/Users/ericv/Desktop/Vegetable Cooling/__Outputs/Report for CITE/_Decision making tool/"/>
    </mc:Choice>
  </mc:AlternateContent>
  <xr:revisionPtr revIDLastSave="0" documentId="8_{169D110F-A406-9243-9D20-8632F75C837D}" xr6:coauthVersionLast="32" xr6:coauthVersionMax="32" xr10:uidLastSave="{00000000-0000-0000-0000-000000000000}"/>
  <workbookProtection lockStructure="1"/>
  <bookViews>
    <workbookView xWindow="1920" yWindow="460" windowWidth="39420" windowHeight="22720" tabRatio="650" xr2:uid="{00000000-000D-0000-FFFF-FFFF00000000}"/>
  </bookViews>
  <sheets>
    <sheet name="Decision making tool" sheetId="8" r:id="rId1"/>
    <sheet name="Calculations" sheetId="2" state="hidden" r:id="rId2"/>
    <sheet name="Storage conditions" sheetId="10" r:id="rId3"/>
  </sheet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B50" i="2" l="1"/>
  <c r="B51" i="2" s="1"/>
  <c r="G29" i="2"/>
  <c r="K66" i="2"/>
  <c r="K77" i="2" s="1"/>
  <c r="C122" i="2" s="1"/>
  <c r="J66" i="2"/>
  <c r="J77" i="2" s="1"/>
  <c r="C121" i="2" s="1"/>
  <c r="I66" i="2"/>
  <c r="I77" i="2" s="1"/>
  <c r="C120" i="2" s="1"/>
  <c r="H66" i="2"/>
  <c r="H77" i="2" s="1"/>
  <c r="C119" i="2" s="1"/>
  <c r="G66" i="2"/>
  <c r="G77" i="2" s="1"/>
  <c r="AB83" i="8"/>
  <c r="AB82" i="8"/>
  <c r="AB81" i="8"/>
  <c r="AB85" i="8"/>
  <c r="AB78" i="8"/>
  <c r="AB79" i="8"/>
  <c r="AB80" i="8"/>
  <c r="AB84" i="8"/>
  <c r="AB86" i="8"/>
  <c r="AB87" i="8"/>
  <c r="Y85" i="8"/>
  <c r="Y78" i="8"/>
  <c r="Y79" i="8"/>
  <c r="Y80" i="8"/>
  <c r="Y81" i="8"/>
  <c r="Y82" i="8"/>
  <c r="Y83" i="8"/>
  <c r="Y84" i="8"/>
  <c r="Y86" i="8"/>
  <c r="Y87" i="8"/>
  <c r="Z84" i="8"/>
  <c r="Z85" i="8"/>
  <c r="Z81" i="8"/>
  <c r="Z79" i="8"/>
  <c r="Z87" i="8"/>
  <c r="Z78" i="8"/>
  <c r="Z80" i="8"/>
  <c r="Z82" i="8"/>
  <c r="Z83" i="8"/>
  <c r="Z86" i="8"/>
  <c r="AA85" i="8"/>
  <c r="AA82" i="8"/>
  <c r="AA81" i="8"/>
  <c r="AA87" i="8"/>
  <c r="AA78" i="8"/>
  <c r="AA79" i="8"/>
  <c r="AA80" i="8"/>
  <c r="AA83" i="8"/>
  <c r="AA84" i="8"/>
  <c r="AA86" i="8"/>
  <c r="AC83" i="8"/>
  <c r="AC81" i="8"/>
  <c r="AC85" i="8"/>
  <c r="AC82" i="8"/>
  <c r="AC78" i="8"/>
  <c r="AC79" i="8"/>
  <c r="AC80" i="8"/>
  <c r="AC84" i="8"/>
  <c r="AC86" i="8"/>
  <c r="AC87" i="8"/>
  <c r="AD78" i="8"/>
  <c r="AD79" i="8"/>
  <c r="AD80" i="8"/>
  <c r="AD81" i="8"/>
  <c r="AD82" i="8"/>
  <c r="AD83" i="8"/>
  <c r="AD84" i="8"/>
  <c r="AD85" i="8"/>
  <c r="AD86" i="8"/>
  <c r="AD87" i="8"/>
  <c r="AE78" i="8"/>
  <c r="AE79" i="8"/>
  <c r="AE80" i="8"/>
  <c r="AE81" i="8"/>
  <c r="AE82" i="8"/>
  <c r="AE83" i="8"/>
  <c r="AE84" i="8"/>
  <c r="AE85" i="8"/>
  <c r="AE86" i="8"/>
  <c r="AE87" i="8"/>
  <c r="AF78" i="8"/>
  <c r="AF79" i="8"/>
  <c r="AF80" i="8"/>
  <c r="AF81" i="8"/>
  <c r="AF82" i="8"/>
  <c r="AF83" i="8"/>
  <c r="AF84" i="8"/>
  <c r="AF85" i="8"/>
  <c r="AF86" i="8"/>
  <c r="AF87" i="8"/>
  <c r="AG78" i="8"/>
  <c r="AG79" i="8"/>
  <c r="AG80" i="8"/>
  <c r="AG81" i="8"/>
  <c r="AG82" i="8"/>
  <c r="AG83" i="8"/>
  <c r="AG84" i="8"/>
  <c r="AG85" i="8"/>
  <c r="AG86" i="8"/>
  <c r="AG87" i="8"/>
  <c r="AH78" i="8"/>
  <c r="AH79" i="8"/>
  <c r="AH80" i="8"/>
  <c r="AH81" i="8"/>
  <c r="AH82" i="8"/>
  <c r="AH83" i="8"/>
  <c r="AH84" i="8"/>
  <c r="AH85" i="8"/>
  <c r="AH86" i="8"/>
  <c r="AH87" i="8"/>
  <c r="AI78" i="8"/>
  <c r="AI79" i="8"/>
  <c r="AI80" i="8"/>
  <c r="AI81" i="8"/>
  <c r="AI82" i="8"/>
  <c r="AI83" i="8"/>
  <c r="AI84" i="8"/>
  <c r="AI85" i="8"/>
  <c r="AI86" i="8"/>
  <c r="AI87" i="8"/>
  <c r="AJ80" i="8"/>
  <c r="AJ82" i="8"/>
  <c r="AJ83" i="8"/>
  <c r="AJ84" i="8"/>
  <c r="AJ85" i="8"/>
  <c r="AJ86" i="8"/>
  <c r="AJ87" i="8"/>
  <c r="AJ78" i="8"/>
  <c r="AJ79" i="8"/>
  <c r="AJ81" i="8"/>
  <c r="Y59" i="8"/>
  <c r="Y58" i="8"/>
  <c r="Y57" i="8"/>
  <c r="Y56" i="8"/>
  <c r="Y55" i="8"/>
  <c r="Y104" i="8"/>
  <c r="K57" i="8"/>
  <c r="L66" i="2"/>
  <c r="L77" i="2" s="1"/>
  <c r="C123" i="2" s="1"/>
  <c r="H29" i="2"/>
  <c r="W93" i="8"/>
  <c r="Y102" i="8" s="1"/>
  <c r="O66" i="2"/>
  <c r="O77" i="2" s="1"/>
  <c r="C126" i="2" s="1"/>
  <c r="N66" i="2"/>
  <c r="N77" i="2"/>
  <c r="P66" i="2"/>
  <c r="P77" i="2"/>
  <c r="C127" i="2" s="1"/>
  <c r="Q66" i="2"/>
  <c r="Q77" i="2" s="1"/>
  <c r="C128" i="2" s="1"/>
  <c r="Y103" i="8"/>
  <c r="M66" i="2"/>
  <c r="M77" i="2" s="1"/>
  <c r="C124" i="2" s="1"/>
  <c r="BN115" i="2"/>
  <c r="BJ115" i="2"/>
  <c r="BF115" i="2"/>
  <c r="B90" i="8"/>
  <c r="B89" i="8"/>
  <c r="C125" i="2"/>
  <c r="Y63" i="8"/>
  <c r="R66" i="2"/>
  <c r="R77" i="2"/>
  <c r="C129" i="2"/>
  <c r="B41" i="8"/>
  <c r="X55" i="8"/>
  <c r="X56" i="8"/>
  <c r="X57" i="8"/>
  <c r="X58" i="8"/>
  <c r="X59" i="8"/>
  <c r="B36" i="8"/>
  <c r="AX115" i="2"/>
  <c r="AP115" i="2"/>
  <c r="B67" i="2"/>
  <c r="A55" i="8"/>
  <c r="F5" i="2"/>
  <c r="I29" i="2"/>
  <c r="M6" i="2"/>
  <c r="L6" i="2"/>
  <c r="K6" i="2"/>
  <c r="J6" i="2"/>
  <c r="I6" i="2"/>
  <c r="H6" i="2"/>
  <c r="G6" i="2"/>
  <c r="F6" i="2"/>
  <c r="B74" i="8" s="1"/>
  <c r="B6" i="2"/>
  <c r="C6" i="2"/>
  <c r="D6" i="2"/>
  <c r="E6" i="2"/>
  <c r="B32" i="2"/>
  <c r="C32" i="2"/>
  <c r="D32" i="2"/>
  <c r="F32" i="2"/>
  <c r="G32" i="2"/>
  <c r="H32" i="2"/>
  <c r="I32" i="2"/>
  <c r="M32" i="2"/>
  <c r="L32" i="2"/>
  <c r="K32" i="2"/>
  <c r="J32" i="2"/>
  <c r="B23" i="2"/>
  <c r="B65" i="2" s="1"/>
  <c r="B24" i="2"/>
  <c r="B66" i="2" s="1"/>
  <c r="B25" i="2"/>
  <c r="AD118" i="2"/>
  <c r="D84" i="2"/>
  <c r="D82" i="2"/>
  <c r="O113" i="2" s="1"/>
  <c r="C23" i="2"/>
  <c r="B70" i="2" s="1"/>
  <c r="C24" i="2"/>
  <c r="B71" i="2"/>
  <c r="C25" i="2"/>
  <c r="B72" i="2" s="1"/>
  <c r="D92" i="2"/>
  <c r="Y113" i="2"/>
  <c r="A84" i="2"/>
  <c r="I37" i="2"/>
  <c r="AD125" i="2"/>
  <c r="AH115" i="2"/>
  <c r="AT115" i="2"/>
  <c r="AD120" i="2"/>
  <c r="AD119" i="2"/>
  <c r="I38" i="2"/>
  <c r="J44" i="2"/>
  <c r="AC76" i="8"/>
  <c r="AD76" i="8"/>
  <c r="AE76" i="8"/>
  <c r="AF76" i="8"/>
  <c r="AG76" i="8"/>
  <c r="AH76" i="8"/>
  <c r="AI76" i="8"/>
  <c r="AC77" i="8"/>
  <c r="AD77" i="8"/>
  <c r="AI77" i="8"/>
  <c r="AJ76" i="8"/>
  <c r="AJ77" i="8"/>
  <c r="AD123" i="2"/>
  <c r="AD122" i="2"/>
  <c r="AD121" i="2"/>
  <c r="AD124" i="2"/>
  <c r="AD128" i="2"/>
  <c r="AD127" i="2"/>
  <c r="AD129" i="2"/>
  <c r="AE117" i="2"/>
  <c r="D87" i="2"/>
  <c r="T113" i="2" s="1"/>
  <c r="D91" i="2"/>
  <c r="X113" i="2"/>
  <c r="D90" i="2"/>
  <c r="W113" i="2"/>
  <c r="D89" i="2"/>
  <c r="D88" i="2"/>
  <c r="U113" i="2" s="1"/>
  <c r="D86" i="2"/>
  <c r="S113" i="2" s="1"/>
  <c r="D85" i="2"/>
  <c r="R113" i="2" s="1"/>
  <c r="B120" i="2"/>
  <c r="N120" i="2" s="1"/>
  <c r="B118" i="2"/>
  <c r="B126" i="2"/>
  <c r="B127" i="2"/>
  <c r="B128" i="2"/>
  <c r="B129" i="2"/>
  <c r="N129" i="2"/>
  <c r="B119" i="2"/>
  <c r="B121" i="2"/>
  <c r="N121" i="2" s="1"/>
  <c r="B122" i="2"/>
  <c r="N122" i="2" s="1"/>
  <c r="B123" i="2"/>
  <c r="B124" i="2"/>
  <c r="N124" i="2"/>
  <c r="B125" i="2"/>
  <c r="N125" i="2" s="1"/>
  <c r="V113" i="2"/>
  <c r="Q113" i="2"/>
  <c r="P113" i="2"/>
  <c r="N113" i="2"/>
  <c r="N119" i="2"/>
  <c r="N123" i="2"/>
  <c r="N126" i="2"/>
  <c r="N127" i="2"/>
  <c r="N128" i="2"/>
  <c r="N118" i="2"/>
  <c r="B69" i="2"/>
  <c r="B64" i="2"/>
  <c r="K41" i="2"/>
  <c r="D41" i="2"/>
  <c r="B41" i="2"/>
  <c r="C41" i="2"/>
  <c r="G41" i="2"/>
  <c r="H41" i="2"/>
  <c r="I41" i="2"/>
  <c r="F41" i="2"/>
  <c r="J41" i="2"/>
  <c r="L41" i="2"/>
  <c r="M41" i="2"/>
  <c r="E41" i="2"/>
  <c r="E31" i="2"/>
  <c r="K31" i="2"/>
  <c r="D31" i="2"/>
  <c r="B31" i="2"/>
  <c r="C31" i="2"/>
  <c r="G31" i="2"/>
  <c r="H31" i="2"/>
  <c r="I31" i="2"/>
  <c r="F31" i="2"/>
  <c r="J31" i="2"/>
  <c r="L31" i="2"/>
  <c r="M31" i="2"/>
  <c r="K21" i="2"/>
  <c r="D21" i="2"/>
  <c r="B21" i="2"/>
  <c r="C21" i="2"/>
  <c r="G21" i="2"/>
  <c r="H21" i="2"/>
  <c r="I21" i="2"/>
  <c r="F21" i="2"/>
  <c r="J21" i="2"/>
  <c r="L21" i="2"/>
  <c r="M21" i="2"/>
  <c r="E21" i="2"/>
  <c r="E5" i="2"/>
  <c r="K5" i="2"/>
  <c r="D5" i="2"/>
  <c r="B5" i="2"/>
  <c r="C5" i="2"/>
  <c r="G5" i="2"/>
  <c r="H5" i="2"/>
  <c r="I5" i="2"/>
  <c r="J5" i="2"/>
  <c r="L5" i="2"/>
  <c r="M5" i="2"/>
  <c r="E34" i="2"/>
  <c r="C14" i="2"/>
  <c r="D25" i="8" s="1"/>
  <c r="B14" i="2"/>
  <c r="D24" i="8" s="1"/>
  <c r="D14" i="2"/>
  <c r="D26" i="8"/>
  <c r="C13" i="2"/>
  <c r="B25" i="8" s="1"/>
  <c r="D13" i="2"/>
  <c r="B26" i="8" s="1"/>
  <c r="B13" i="2"/>
  <c r="B24" i="8" s="1"/>
  <c r="K13" i="2"/>
  <c r="L13" i="2"/>
  <c r="M13" i="2"/>
  <c r="AD126" i="2"/>
  <c r="B52" i="2"/>
  <c r="P68" i="2"/>
  <c r="P79" i="2"/>
  <c r="E127" i="2" s="1"/>
  <c r="K68" i="2"/>
  <c r="K79" i="2" s="1"/>
  <c r="E122" i="2" s="1"/>
  <c r="BX122" i="2"/>
  <c r="Y109" i="8" l="1"/>
  <c r="X60" i="8"/>
  <c r="N67" i="2"/>
  <c r="N78" i="2" s="1"/>
  <c r="K67" i="2"/>
  <c r="K78" i="2" s="1"/>
  <c r="C118" i="2"/>
  <c r="S77" i="2"/>
  <c r="AA20" i="8" s="1"/>
  <c r="Q67" i="2"/>
  <c r="Q78" i="2" s="1"/>
  <c r="O67" i="2"/>
  <c r="O78" i="2" s="1"/>
  <c r="P67" i="2"/>
  <c r="P78" i="2" s="1"/>
  <c r="H67" i="2"/>
  <c r="H78" i="2" s="1"/>
  <c r="R67" i="2"/>
  <c r="R78" i="2" s="1"/>
  <c r="G67" i="2"/>
  <c r="G78" i="2" s="1"/>
  <c r="J67" i="2"/>
  <c r="J78" i="2" s="1"/>
  <c r="L67" i="2"/>
  <c r="L78" i="2" s="1"/>
  <c r="I67" i="2"/>
  <c r="I78" i="2" s="1"/>
  <c r="M67" i="2"/>
  <c r="M78" i="2" s="1"/>
  <c r="Q68" i="2"/>
  <c r="Q79" i="2" s="1"/>
  <c r="E128" i="2" s="1"/>
  <c r="I68" i="2"/>
  <c r="I79" i="2" s="1"/>
  <c r="E120" i="2" s="1"/>
  <c r="H68" i="2"/>
  <c r="H79" i="2" s="1"/>
  <c r="E119" i="2" s="1"/>
  <c r="L68" i="2"/>
  <c r="L79" i="2" s="1"/>
  <c r="E123" i="2" s="1"/>
  <c r="R68" i="2"/>
  <c r="R79" i="2" s="1"/>
  <c r="E129" i="2" s="1"/>
  <c r="J68" i="2"/>
  <c r="J79" i="2" s="1"/>
  <c r="E121" i="2" s="1"/>
  <c r="G68" i="2"/>
  <c r="G79" i="2" s="1"/>
  <c r="E118" i="2" s="1"/>
  <c r="N68" i="2"/>
  <c r="N79" i="2" s="1"/>
  <c r="E125" i="2" s="1"/>
  <c r="M68" i="2"/>
  <c r="M79" i="2" s="1"/>
  <c r="E124" i="2" s="1"/>
  <c r="O68" i="2"/>
  <c r="O79" i="2" s="1"/>
  <c r="E126" i="2" s="1"/>
  <c r="BX120" i="2"/>
  <c r="K42" i="2"/>
  <c r="K44" i="2" s="1"/>
  <c r="BX125" i="2"/>
  <c r="BX119" i="2"/>
  <c r="E51" i="2"/>
  <c r="G44" i="2" s="1"/>
  <c r="B146" i="2" s="1"/>
  <c r="BX121" i="2"/>
  <c r="BX118" i="2"/>
  <c r="BX126" i="2"/>
  <c r="BX123" i="2"/>
  <c r="BX128" i="2"/>
  <c r="BX127" i="2"/>
  <c r="BX124" i="2"/>
  <c r="BX129" i="2"/>
  <c r="L94" i="2" l="1"/>
  <c r="D123" i="2"/>
  <c r="AQ123" i="2" s="1"/>
  <c r="L95" i="2"/>
  <c r="L93" i="2"/>
  <c r="L97" i="2" s="1"/>
  <c r="F14" i="2"/>
  <c r="K75" i="8"/>
  <c r="AC75" i="8" s="1"/>
  <c r="H88" i="8"/>
  <c r="H91" i="8" s="1"/>
  <c r="G119" i="2" s="1"/>
  <c r="I44" i="2"/>
  <c r="N88" i="8"/>
  <c r="I14" i="2"/>
  <c r="I88" i="8"/>
  <c r="I91" i="8" s="1"/>
  <c r="G120" i="2" s="1"/>
  <c r="G42" i="2"/>
  <c r="L44" i="8" s="1"/>
  <c r="B46" i="8" s="1"/>
  <c r="J14" i="2"/>
  <c r="J13" i="2" s="1"/>
  <c r="B55" i="8" s="1"/>
  <c r="G14" i="2"/>
  <c r="M88" i="8"/>
  <c r="M91" i="8" s="1"/>
  <c r="G124" i="2" s="1"/>
  <c r="L88" i="8"/>
  <c r="L91" i="8" s="1"/>
  <c r="G123" i="2" s="1"/>
  <c r="O88" i="8"/>
  <c r="H44" i="2"/>
  <c r="B150" i="2" s="1"/>
  <c r="Q75" i="8"/>
  <c r="AI75" i="8" s="1"/>
  <c r="R75" i="8"/>
  <c r="AJ75" i="8" s="1"/>
  <c r="J88" i="8"/>
  <c r="J91" i="8" s="1"/>
  <c r="G121" i="2" s="1"/>
  <c r="R88" i="8"/>
  <c r="R91" i="8" s="1"/>
  <c r="G129" i="2" s="1"/>
  <c r="G88" i="8"/>
  <c r="G91" i="8" s="1"/>
  <c r="G118" i="2" s="1"/>
  <c r="P75" i="8"/>
  <c r="AH75" i="8" s="1"/>
  <c r="I75" i="8"/>
  <c r="AA75" i="8" s="1"/>
  <c r="N75" i="8"/>
  <c r="AF75" i="8" s="1"/>
  <c r="O91" i="8"/>
  <c r="G126" i="2" s="1"/>
  <c r="P88" i="8"/>
  <c r="P91" i="8" s="1"/>
  <c r="G127" i="2" s="1"/>
  <c r="K88" i="8"/>
  <c r="K91" i="8" s="1"/>
  <c r="G122" i="2" s="1"/>
  <c r="Q88" i="8"/>
  <c r="Q91" i="8" s="1"/>
  <c r="G128" i="2" s="1"/>
  <c r="H14" i="2"/>
  <c r="L75" i="8"/>
  <c r="AD75" i="8" s="1"/>
  <c r="N91" i="8"/>
  <c r="G125" i="2" s="1"/>
  <c r="J75" i="8"/>
  <c r="AB75" i="8" s="1"/>
  <c r="G75" i="8"/>
  <c r="Y75" i="8" s="1"/>
  <c r="H42" i="2"/>
  <c r="AF92" i="8" s="1"/>
  <c r="I42" i="2"/>
  <c r="AF93" i="8" s="1"/>
  <c r="H75" i="8"/>
  <c r="Z75" i="8" s="1"/>
  <c r="O75" i="8"/>
  <c r="AG75" i="8" s="1"/>
  <c r="M75" i="8"/>
  <c r="AE75" i="8" s="1"/>
  <c r="Q93" i="2"/>
  <c r="Q97" i="2" s="1"/>
  <c r="D128" i="2"/>
  <c r="AQ128" i="2" s="1"/>
  <c r="Q94" i="2"/>
  <c r="Q95" i="2"/>
  <c r="D119" i="2"/>
  <c r="AQ119" i="2" s="1"/>
  <c r="H95" i="2"/>
  <c r="H93" i="2"/>
  <c r="H97" i="2" s="1"/>
  <c r="H94" i="2"/>
  <c r="P93" i="2"/>
  <c r="P97" i="2" s="1"/>
  <c r="D127" i="2"/>
  <c r="P95" i="2"/>
  <c r="P94" i="2"/>
  <c r="K94" i="2"/>
  <c r="K93" i="2"/>
  <c r="K97" i="2"/>
  <c r="K95" i="2"/>
  <c r="D122" i="2"/>
  <c r="I93" i="2"/>
  <c r="I97" i="2"/>
  <c r="I95" i="2"/>
  <c r="D120" i="2"/>
  <c r="I94" i="2"/>
  <c r="D121" i="2"/>
  <c r="AM121" i="2" s="1"/>
  <c r="J94" i="2"/>
  <c r="J95" i="2"/>
  <c r="J93" i="2"/>
  <c r="J97" i="2" s="1"/>
  <c r="G95" i="2"/>
  <c r="D118" i="2"/>
  <c r="AQ118" i="2" s="1"/>
  <c r="G93" i="2"/>
  <c r="G97" i="2" s="1"/>
  <c r="G94" i="2"/>
  <c r="R93" i="2"/>
  <c r="R97" i="2"/>
  <c r="R94" i="2"/>
  <c r="R95" i="2"/>
  <c r="D129" i="2"/>
  <c r="AM129" i="2" s="1"/>
  <c r="M93" i="2"/>
  <c r="M97" i="2" s="1"/>
  <c r="M94" i="2"/>
  <c r="D124" i="2"/>
  <c r="AM124" i="2" s="1"/>
  <c r="M95" i="2"/>
  <c r="O93" i="2"/>
  <c r="O97" i="2" s="1"/>
  <c r="D126" i="2"/>
  <c r="O94" i="2"/>
  <c r="O95" i="2"/>
  <c r="D125" i="2"/>
  <c r="AM125" i="2" s="1"/>
  <c r="N93" i="2"/>
  <c r="N97" i="2" s="1"/>
  <c r="N94" i="2"/>
  <c r="N95" i="2"/>
  <c r="AQ124" i="2" l="1"/>
  <c r="AM123" i="2"/>
  <c r="AQ125" i="2"/>
  <c r="AQ121" i="2"/>
  <c r="AT121" i="2" s="1"/>
  <c r="AT128" i="2"/>
  <c r="AT119" i="2"/>
  <c r="AA126" i="2"/>
  <c r="BU126" i="2" s="1"/>
  <c r="O28" i="8"/>
  <c r="O90" i="8" s="1"/>
  <c r="AP121" i="2"/>
  <c r="D55" i="8"/>
  <c r="D56" i="8"/>
  <c r="D58" i="8"/>
  <c r="D59" i="8"/>
  <c r="D57" i="8"/>
  <c r="BK129" i="2"/>
  <c r="F13" i="2"/>
  <c r="B88" i="8"/>
  <c r="B91" i="8"/>
  <c r="S91" i="8"/>
  <c r="F29" i="2" s="1"/>
  <c r="BK121" i="2"/>
  <c r="AT118" i="2"/>
  <c r="AR118" i="2"/>
  <c r="AR119" i="2" s="1"/>
  <c r="F119" i="2"/>
  <c r="BG119" i="2" s="1"/>
  <c r="Q126" i="2"/>
  <c r="AY126" i="2"/>
  <c r="P126" i="2"/>
  <c r="BO126" i="2"/>
  <c r="AE126" i="2"/>
  <c r="BW126" i="2"/>
  <c r="AI126" i="2"/>
  <c r="Q118" i="2"/>
  <c r="BW118" i="2"/>
  <c r="AY118" i="2"/>
  <c r="BO118" i="2"/>
  <c r="P118" i="2"/>
  <c r="AA14" i="8"/>
  <c r="AI118" i="2"/>
  <c r="AE118" i="2"/>
  <c r="AA128" i="2"/>
  <c r="BU128" i="2" s="1"/>
  <c r="Q28" i="8"/>
  <c r="Q90" i="8" s="1"/>
  <c r="AQ126" i="2"/>
  <c r="AY128" i="2"/>
  <c r="AE128" i="2"/>
  <c r="BO128" i="2"/>
  <c r="AI128" i="2"/>
  <c r="BW128" i="2"/>
  <c r="P128" i="2"/>
  <c r="Q128" i="2"/>
  <c r="Z129" i="2"/>
  <c r="BT129" i="2" s="1"/>
  <c r="R27" i="8"/>
  <c r="R89" i="8" s="1"/>
  <c r="F120" i="2"/>
  <c r="BG120" i="2" s="1"/>
  <c r="Z122" i="2"/>
  <c r="BT122" i="2" s="1"/>
  <c r="K27" i="8"/>
  <c r="K89" i="8" s="1"/>
  <c r="BK127" i="2"/>
  <c r="BC127" i="2"/>
  <c r="M27" i="8"/>
  <c r="M89" i="8" s="1"/>
  <c r="Z124" i="2"/>
  <c r="BT124" i="2" s="1"/>
  <c r="G27" i="8"/>
  <c r="G89" i="8" s="1"/>
  <c r="F100" i="2"/>
  <c r="F101" i="2"/>
  <c r="F102" i="2"/>
  <c r="F99" i="2"/>
  <c r="Z118" i="2"/>
  <c r="BT118" i="2" s="1"/>
  <c r="F103" i="2"/>
  <c r="AY127" i="2"/>
  <c r="P127" i="2"/>
  <c r="AI127" i="2"/>
  <c r="Q127" i="2"/>
  <c r="BO127" i="2"/>
  <c r="AE127" i="2"/>
  <c r="BW127" i="2"/>
  <c r="AQ127" i="2"/>
  <c r="AM127" i="2"/>
  <c r="BK128" i="2"/>
  <c r="D44" i="8"/>
  <c r="G13" i="2"/>
  <c r="B44" i="8" s="1"/>
  <c r="AA21" i="8" s="1"/>
  <c r="AT125" i="2"/>
  <c r="P122" i="2"/>
  <c r="Q122" i="2"/>
  <c r="AE122" i="2"/>
  <c r="BO122" i="2"/>
  <c r="AM122" i="2"/>
  <c r="AY122" i="2"/>
  <c r="AI122" i="2"/>
  <c r="BW122" i="2"/>
  <c r="AQ122" i="2"/>
  <c r="AI119" i="2"/>
  <c r="AE119" i="2"/>
  <c r="BW119" i="2"/>
  <c r="P119" i="2"/>
  <c r="AY119" i="2"/>
  <c r="BO119" i="2"/>
  <c r="Q119" i="2"/>
  <c r="BK118" i="2"/>
  <c r="B64" i="8"/>
  <c r="B62" i="8"/>
  <c r="Z126" i="2"/>
  <c r="BT126" i="2" s="1"/>
  <c r="O27" i="8"/>
  <c r="O89" i="8" s="1"/>
  <c r="BW120" i="2"/>
  <c r="AE120" i="2"/>
  <c r="P120" i="2"/>
  <c r="AY120" i="2"/>
  <c r="BO120" i="2"/>
  <c r="AI120" i="2"/>
  <c r="Q120" i="2"/>
  <c r="AM126" i="2"/>
  <c r="F125" i="2"/>
  <c r="BC125" i="2" s="1"/>
  <c r="AM120" i="2"/>
  <c r="P28" i="8"/>
  <c r="P90" i="8" s="1"/>
  <c r="AA127" i="2"/>
  <c r="BU127" i="2" s="1"/>
  <c r="AO129" i="2"/>
  <c r="AP129" i="2"/>
  <c r="F129" i="2"/>
  <c r="BG129" i="2" s="1"/>
  <c r="L28" i="8"/>
  <c r="L90" i="8" s="1"/>
  <c r="AA123" i="2"/>
  <c r="BU123" i="2" s="1"/>
  <c r="BK124" i="2"/>
  <c r="AA129" i="2"/>
  <c r="BU129" i="2" s="1"/>
  <c r="R28" i="8"/>
  <c r="R90" i="8" s="1"/>
  <c r="AP125" i="2"/>
  <c r="AA120" i="2"/>
  <c r="BU120" i="2" s="1"/>
  <c r="I28" i="8"/>
  <c r="I90" i="8" s="1"/>
  <c r="P27" i="8"/>
  <c r="P89" i="8" s="1"/>
  <c r="Z127" i="2"/>
  <c r="BT127" i="2" s="1"/>
  <c r="AA125" i="2"/>
  <c r="BU125" i="2" s="1"/>
  <c r="N28" i="8"/>
  <c r="N90" i="8" s="1"/>
  <c r="Z121" i="2"/>
  <c r="BT121" i="2" s="1"/>
  <c r="J27" i="8"/>
  <c r="J89" i="8" s="1"/>
  <c r="AT124" i="2"/>
  <c r="AA92" i="8"/>
  <c r="H13" i="2"/>
  <c r="Y92" i="8" s="1"/>
  <c r="AA22" i="8" s="1"/>
  <c r="F106" i="8" s="1"/>
  <c r="Z123" i="2"/>
  <c r="BT123" i="2" s="1"/>
  <c r="L27" i="8"/>
  <c r="AM128" i="2"/>
  <c r="AP124" i="2"/>
  <c r="AP123" i="2"/>
  <c r="Z128" i="2"/>
  <c r="BT128" i="2" s="1"/>
  <c r="Q27" i="8"/>
  <c r="Q89" i="8" s="1"/>
  <c r="F128" i="2"/>
  <c r="BC128" i="2" s="1"/>
  <c r="F126" i="2"/>
  <c r="BC126" i="2" s="1"/>
  <c r="AA93" i="8"/>
  <c r="I13" i="2"/>
  <c r="Y93" i="8" s="1"/>
  <c r="N27" i="8"/>
  <c r="N89" i="8" s="1"/>
  <c r="Z125" i="2"/>
  <c r="BT125" i="2" s="1"/>
  <c r="AY124" i="2"/>
  <c r="BW124" i="2"/>
  <c r="AI124" i="2"/>
  <c r="Q124" i="2"/>
  <c r="BO124" i="2"/>
  <c r="P124" i="2"/>
  <c r="AE124" i="2"/>
  <c r="AQ120" i="2"/>
  <c r="AM119" i="2"/>
  <c r="J28" i="8"/>
  <c r="J90" i="8" s="1"/>
  <c r="AA121" i="2"/>
  <c r="BU121" i="2" s="1"/>
  <c r="AA122" i="2"/>
  <c r="BU122" i="2" s="1"/>
  <c r="K28" i="8"/>
  <c r="K90" i="8" s="1"/>
  <c r="AT123" i="2"/>
  <c r="BK123" i="2"/>
  <c r="BC123" i="2"/>
  <c r="F122" i="2"/>
  <c r="BG122" i="2" s="1"/>
  <c r="AA23" i="8"/>
  <c r="F118" i="2"/>
  <c r="BG118" i="2" s="1"/>
  <c r="F123" i="2"/>
  <c r="BG123" i="2" s="1"/>
  <c r="L89" i="8"/>
  <c r="BO123" i="2"/>
  <c r="P123" i="2"/>
  <c r="AY123" i="2"/>
  <c r="AI123" i="2"/>
  <c r="BW123" i="2"/>
  <c r="AE123" i="2"/>
  <c r="Q123" i="2"/>
  <c r="BO125" i="2"/>
  <c r="BW125" i="2"/>
  <c r="Q125" i="2"/>
  <c r="AE125" i="2"/>
  <c r="P125" i="2"/>
  <c r="AY125" i="2"/>
  <c r="AI125" i="2"/>
  <c r="AA124" i="2"/>
  <c r="BU124" i="2" s="1"/>
  <c r="M28" i="8"/>
  <c r="M90" i="8" s="1"/>
  <c r="G28" i="8"/>
  <c r="G90" i="8" s="1"/>
  <c r="AA118" i="2"/>
  <c r="BU118" i="2" s="1"/>
  <c r="BW121" i="2"/>
  <c r="Q121" i="2"/>
  <c r="AY121" i="2"/>
  <c r="BO121" i="2"/>
  <c r="P121" i="2"/>
  <c r="AE121" i="2"/>
  <c r="AI121" i="2"/>
  <c r="I27" i="8"/>
  <c r="I89" i="8" s="1"/>
  <c r="Z120" i="2"/>
  <c r="BT120" i="2" s="1"/>
  <c r="H28" i="8"/>
  <c r="H90" i="8" s="1"/>
  <c r="AA119" i="2"/>
  <c r="BU119" i="2" s="1"/>
  <c r="F127" i="2"/>
  <c r="BG127" i="2" s="1"/>
  <c r="BK122" i="2"/>
  <c r="BK120" i="2"/>
  <c r="BC120" i="2"/>
  <c r="AY129" i="2"/>
  <c r="Q129" i="2"/>
  <c r="BO129" i="2"/>
  <c r="BW129" i="2"/>
  <c r="AE129" i="2"/>
  <c r="AI129" i="2"/>
  <c r="P129" i="2"/>
  <c r="AM118" i="2"/>
  <c r="H27" i="8"/>
  <c r="H89" i="8" s="1"/>
  <c r="Z119" i="2"/>
  <c r="BT119" i="2" s="1"/>
  <c r="AQ129" i="2"/>
  <c r="BK119" i="2"/>
  <c r="BK125" i="2"/>
  <c r="BK126" i="2"/>
  <c r="F121" i="2"/>
  <c r="BC121" i="2" s="1"/>
  <c r="F124" i="2"/>
  <c r="BG124" i="2" s="1"/>
  <c r="E50" i="2" l="1"/>
  <c r="BC124" i="2"/>
  <c r="BG125" i="2"/>
  <c r="BG121" i="2"/>
  <c r="BC119" i="2"/>
  <c r="BF119" i="2" s="1"/>
  <c r="BC118" i="2"/>
  <c r="BF118" i="2" s="1"/>
  <c r="F104" i="8"/>
  <c r="BC122" i="2"/>
  <c r="BF122" i="2" s="1"/>
  <c r="BG126" i="2"/>
  <c r="BG128" i="2"/>
  <c r="BC129" i="2"/>
  <c r="BE129" i="2" s="1"/>
  <c r="BE128" i="2" s="1"/>
  <c r="BE127" i="2" s="1"/>
  <c r="BE126" i="2" s="1"/>
  <c r="BE125" i="2" s="1"/>
  <c r="BE124" i="2" s="1"/>
  <c r="BE123" i="2" s="1"/>
  <c r="AU129" i="2"/>
  <c r="BY129" i="2"/>
  <c r="AH129" i="2"/>
  <c r="AG129" i="2"/>
  <c r="AG128" i="2" s="1"/>
  <c r="AG127" i="2" s="1"/>
  <c r="AG126" i="2" s="1"/>
  <c r="AG125" i="2" s="1"/>
  <c r="AG124" i="2" s="1"/>
  <c r="AG123" i="2" s="1"/>
  <c r="AG122" i="2" s="1"/>
  <c r="AG121" i="2" s="1"/>
  <c r="AG120" i="2" s="1"/>
  <c r="AG119" i="2" s="1"/>
  <c r="AG118" i="2" s="1"/>
  <c r="BB123" i="2"/>
  <c r="BJ123" i="2"/>
  <c r="BB124" i="2"/>
  <c r="BB127" i="2"/>
  <c r="BR128" i="2"/>
  <c r="BN126" i="2"/>
  <c r="BN119" i="2"/>
  <c r="AP126" i="2"/>
  <c r="BR119" i="2"/>
  <c r="AT127" i="2"/>
  <c r="AT129" i="2"/>
  <c r="AS129" i="2"/>
  <c r="AS128" i="2" s="1"/>
  <c r="AS127" i="2" s="1"/>
  <c r="AS126" i="2" s="1"/>
  <c r="AS125" i="2" s="1"/>
  <c r="AS124" i="2" s="1"/>
  <c r="AS123" i="2" s="1"/>
  <c r="AS122" i="2" s="1"/>
  <c r="AS121" i="2" s="1"/>
  <c r="AS120" i="2" s="1"/>
  <c r="AS119" i="2" s="1"/>
  <c r="AS118" i="2" s="1"/>
  <c r="BQ129" i="2"/>
  <c r="BQ128" i="2" s="1"/>
  <c r="BQ127" i="2" s="1"/>
  <c r="BQ126" i="2" s="1"/>
  <c r="BQ125" i="2" s="1"/>
  <c r="BQ124" i="2" s="1"/>
  <c r="BQ123" i="2" s="1"/>
  <c r="BQ122" i="2" s="1"/>
  <c r="BQ121" i="2" s="1"/>
  <c r="BQ120" i="2" s="1"/>
  <c r="BQ119" i="2" s="1"/>
  <c r="BQ118" i="2" s="1"/>
  <c r="BR129" i="2"/>
  <c r="BR123" i="2"/>
  <c r="BY124" i="2"/>
  <c r="AU124" i="2"/>
  <c r="AH124" i="2"/>
  <c r="BN124" i="2"/>
  <c r="BB119" i="2"/>
  <c r="BB122" i="2"/>
  <c r="BB128" i="2"/>
  <c r="BR118" i="2"/>
  <c r="BP118" i="2"/>
  <c r="BP119" i="2" s="1"/>
  <c r="BP120" i="2" s="1"/>
  <c r="BP121" i="2" s="1"/>
  <c r="BP122" i="2" s="1"/>
  <c r="BP123" i="2" s="1"/>
  <c r="BP124" i="2" s="1"/>
  <c r="BP125" i="2" s="1"/>
  <c r="BP126" i="2" s="1"/>
  <c r="BP127" i="2" s="1"/>
  <c r="BP128" i="2" s="1"/>
  <c r="BP129" i="2" s="1"/>
  <c r="E42" i="2"/>
  <c r="L43" i="8" s="1"/>
  <c r="E44" i="2"/>
  <c r="B143" i="2" s="1"/>
  <c r="E14" i="2"/>
  <c r="D43" i="8" s="1"/>
  <c r="AT126" i="2"/>
  <c r="AZ118" i="2"/>
  <c r="AZ119" i="2" s="1"/>
  <c r="AZ120" i="2" s="1"/>
  <c r="AZ121" i="2" s="1"/>
  <c r="AZ122" i="2" s="1"/>
  <c r="AZ123" i="2" s="1"/>
  <c r="AZ124" i="2" s="1"/>
  <c r="AZ125" i="2" s="1"/>
  <c r="AZ126" i="2" s="1"/>
  <c r="AZ127" i="2" s="1"/>
  <c r="AZ128" i="2" s="1"/>
  <c r="AZ129" i="2" s="1"/>
  <c r="BB118" i="2"/>
  <c r="BB126" i="2"/>
  <c r="BN121" i="2"/>
  <c r="BM129" i="2"/>
  <c r="BM128" i="2" s="1"/>
  <c r="BM127" i="2" s="1"/>
  <c r="BM126" i="2" s="1"/>
  <c r="BM125" i="2" s="1"/>
  <c r="BM124" i="2" s="1"/>
  <c r="BM123" i="2" s="1"/>
  <c r="BM122" i="2" s="1"/>
  <c r="BM121" i="2" s="1"/>
  <c r="BM120" i="2" s="1"/>
  <c r="BM119" i="2" s="1"/>
  <c r="BM118" i="2" s="1"/>
  <c r="BN129" i="2"/>
  <c r="BN127" i="2"/>
  <c r="BJ129" i="2"/>
  <c r="BI129" i="2"/>
  <c r="AU118" i="2"/>
  <c r="BY118" i="2"/>
  <c r="AF118" i="2"/>
  <c r="AF119" i="2" s="1"/>
  <c r="AF120" i="2" s="1"/>
  <c r="AF121" i="2" s="1"/>
  <c r="AF122" i="2" s="1"/>
  <c r="AF123" i="2" s="1"/>
  <c r="AF124" i="2" s="1"/>
  <c r="AF125" i="2" s="1"/>
  <c r="AF126" i="2" s="1"/>
  <c r="AF127" i="2" s="1"/>
  <c r="AF128" i="2" s="1"/>
  <c r="AF129" i="2" s="1"/>
  <c r="AH118" i="2"/>
  <c r="BN122" i="2"/>
  <c r="AH125" i="2"/>
  <c r="BY125" i="2"/>
  <c r="AU125" i="2"/>
  <c r="AP119" i="2"/>
  <c r="AP127" i="2"/>
  <c r="AR120" i="2"/>
  <c r="AR121" i="2" s="1"/>
  <c r="AR122" i="2" s="1"/>
  <c r="AR123" i="2" s="1"/>
  <c r="AR124" i="2" s="1"/>
  <c r="AR125" i="2" s="1"/>
  <c r="AR126" i="2" s="1"/>
  <c r="AR127" i="2" s="1"/>
  <c r="AR128" i="2" s="1"/>
  <c r="AR129" i="2" s="1"/>
  <c r="AT117" i="2" s="1"/>
  <c r="B138" i="2" s="1"/>
  <c r="AT120" i="2"/>
  <c r="AU121" i="2"/>
  <c r="BY121" i="2"/>
  <c r="AH121" i="2"/>
  <c r="BR125" i="2"/>
  <c r="AO128" i="2"/>
  <c r="AO127" i="2" s="1"/>
  <c r="AO126" i="2" s="1"/>
  <c r="AO125" i="2" s="1"/>
  <c r="AO124" i="2" s="1"/>
  <c r="AO123" i="2" s="1"/>
  <c r="AO122" i="2" s="1"/>
  <c r="AO121" i="2" s="1"/>
  <c r="AO120" i="2" s="1"/>
  <c r="AO119" i="2" s="1"/>
  <c r="AO118" i="2" s="1"/>
  <c r="AP128" i="2"/>
  <c r="AP122" i="2"/>
  <c r="BY127" i="2"/>
  <c r="AU127" i="2"/>
  <c r="AH127" i="2"/>
  <c r="BB129" i="2"/>
  <c r="BA129" i="2"/>
  <c r="BA128" i="2" s="1"/>
  <c r="BA127" i="2" s="1"/>
  <c r="BA126" i="2" s="1"/>
  <c r="BA125" i="2" s="1"/>
  <c r="BA124" i="2" s="1"/>
  <c r="BA123" i="2" s="1"/>
  <c r="BA122" i="2" s="1"/>
  <c r="BA121" i="2" s="1"/>
  <c r="BA120" i="2" s="1"/>
  <c r="BA119" i="2" s="1"/>
  <c r="BA118" i="2" s="1"/>
  <c r="BR124" i="2"/>
  <c r="BR120" i="2"/>
  <c r="BR122" i="2"/>
  <c r="BR127" i="2"/>
  <c r="BN125" i="2"/>
  <c r="AN118" i="2"/>
  <c r="AN119" i="2" s="1"/>
  <c r="AN120" i="2" s="1"/>
  <c r="AN121" i="2" s="1"/>
  <c r="AN122" i="2" s="1"/>
  <c r="AN123" i="2" s="1"/>
  <c r="AN124" i="2" s="1"/>
  <c r="AN125" i="2" s="1"/>
  <c r="AN126" i="2" s="1"/>
  <c r="AN127" i="2" s="1"/>
  <c r="AN128" i="2" s="1"/>
  <c r="AN129" i="2" s="1"/>
  <c r="AP117" i="2" s="1"/>
  <c r="B136" i="2" s="1"/>
  <c r="AP118" i="2"/>
  <c r="BR121" i="2"/>
  <c r="AU123" i="2"/>
  <c r="AH123" i="2"/>
  <c r="BY123" i="2"/>
  <c r="AP120" i="2"/>
  <c r="BB120" i="2"/>
  <c r="BH118" i="2"/>
  <c r="BH119" i="2" s="1"/>
  <c r="BH120" i="2" s="1"/>
  <c r="BJ118" i="2"/>
  <c r="AH119" i="2"/>
  <c r="AU119" i="2"/>
  <c r="BY119" i="2"/>
  <c r="BY122" i="2"/>
  <c r="AH122" i="2"/>
  <c r="AU122" i="2"/>
  <c r="BN120" i="2"/>
  <c r="BB121" i="2"/>
  <c r="BB125" i="2"/>
  <c r="BF123" i="2"/>
  <c r="I60" i="8"/>
  <c r="O108" i="8" s="1"/>
  <c r="O104" i="8"/>
  <c r="I53" i="8"/>
  <c r="O106" i="8"/>
  <c r="B60" i="8"/>
  <c r="F108" i="8" s="1"/>
  <c r="F110" i="8"/>
  <c r="D53" i="8"/>
  <c r="BJ119" i="2"/>
  <c r="AK129" i="2"/>
  <c r="AK128" i="2" s="1"/>
  <c r="AK127" i="2" s="1"/>
  <c r="AK126" i="2" s="1"/>
  <c r="AK125" i="2" s="1"/>
  <c r="AK124" i="2" s="1"/>
  <c r="AK123" i="2" s="1"/>
  <c r="AK122" i="2" s="1"/>
  <c r="AK121" i="2" s="1"/>
  <c r="AK120" i="2" s="1"/>
  <c r="AK119" i="2" s="1"/>
  <c r="AK118" i="2" s="1"/>
  <c r="BN123" i="2"/>
  <c r="AU120" i="2"/>
  <c r="AH120" i="2"/>
  <c r="BY120" i="2"/>
  <c r="BL118" i="2"/>
  <c r="BL119" i="2" s="1"/>
  <c r="BL120" i="2" s="1"/>
  <c r="BL121" i="2" s="1"/>
  <c r="BL122" i="2" s="1"/>
  <c r="BL123" i="2" s="1"/>
  <c r="BL124" i="2" s="1"/>
  <c r="BL125" i="2" s="1"/>
  <c r="BL126" i="2" s="1"/>
  <c r="BL127" i="2" s="1"/>
  <c r="BL128" i="2" s="1"/>
  <c r="BL129" i="2" s="1"/>
  <c r="BN118" i="2"/>
  <c r="AT122" i="2"/>
  <c r="BN128" i="2"/>
  <c r="AJ118" i="2"/>
  <c r="AJ119" i="2" s="1"/>
  <c r="AJ120" i="2" s="1"/>
  <c r="AJ121" i="2" s="1"/>
  <c r="AJ122" i="2" s="1"/>
  <c r="AJ123" i="2" s="1"/>
  <c r="AJ124" i="2" s="1"/>
  <c r="AJ125" i="2" s="1"/>
  <c r="AJ126" i="2" s="1"/>
  <c r="AJ127" i="2" s="1"/>
  <c r="AJ128" i="2" s="1"/>
  <c r="AJ129" i="2" s="1"/>
  <c r="AL118" i="2"/>
  <c r="AH126" i="2"/>
  <c r="BY126" i="2"/>
  <c r="AU126" i="2"/>
  <c r="AU128" i="2"/>
  <c r="AH128" i="2"/>
  <c r="BY128" i="2"/>
  <c r="BR126" i="2"/>
  <c r="B76" i="8"/>
  <c r="S88" i="8"/>
  <c r="BN117" i="2" l="1"/>
  <c r="B145" i="2" s="1"/>
  <c r="Y99" i="8" s="1"/>
  <c r="O110" i="8"/>
  <c r="B115" i="8" s="1"/>
  <c r="BI128" i="2"/>
  <c r="BF129" i="2"/>
  <c r="BR117" i="2"/>
  <c r="BB117" i="2"/>
  <c r="B139" i="2" s="1"/>
  <c r="AH117" i="2"/>
  <c r="B135" i="2" s="1"/>
  <c r="AL119" i="2"/>
  <c r="AL121" i="2"/>
  <c r="AL123" i="2"/>
  <c r="AL122" i="2"/>
  <c r="AL120" i="2"/>
  <c r="BD118" i="2"/>
  <c r="BD119" i="2" s="1"/>
  <c r="BE122" i="2"/>
  <c r="BH121" i="2"/>
  <c r="BH122" i="2" s="1"/>
  <c r="BH123" i="2" s="1"/>
  <c r="BH124" i="2" s="1"/>
  <c r="BH125" i="2" s="1"/>
  <c r="BH126" i="2" s="1"/>
  <c r="BH127" i="2" s="1"/>
  <c r="AL125" i="2"/>
  <c r="E13" i="2"/>
  <c r="B43" i="8" s="1"/>
  <c r="AA19" i="8" s="1"/>
  <c r="B30" i="8" s="1"/>
  <c r="B32" i="8" s="1"/>
  <c r="AL128" i="2"/>
  <c r="AL129" i="2"/>
  <c r="AL126" i="2"/>
  <c r="AL127" i="2"/>
  <c r="AL124" i="2"/>
  <c r="AV118" i="2"/>
  <c r="AX118" i="2"/>
  <c r="AX121" i="2"/>
  <c r="AX126" i="2"/>
  <c r="AX127" i="2"/>
  <c r="D76" i="8"/>
  <c r="D77" i="8"/>
  <c r="B71" i="8"/>
  <c r="D74" i="8"/>
  <c r="P77" i="8"/>
  <c r="AH77" i="8" s="1"/>
  <c r="N77" i="8"/>
  <c r="AF77" i="8" s="1"/>
  <c r="G76" i="8"/>
  <c r="Y76" i="8" s="1"/>
  <c r="B72" i="8"/>
  <c r="H77" i="8"/>
  <c r="Z77" i="8" s="1"/>
  <c r="J76" i="8"/>
  <c r="AB76" i="8" s="1"/>
  <c r="H76" i="8"/>
  <c r="Z76" i="8" s="1"/>
  <c r="O77" i="8"/>
  <c r="AG77" i="8" s="1"/>
  <c r="I76" i="8"/>
  <c r="AA76" i="8" s="1"/>
  <c r="G74" i="8"/>
  <c r="G77" i="8"/>
  <c r="Y77" i="8" s="1"/>
  <c r="M77" i="8"/>
  <c r="AE77" i="8" s="1"/>
  <c r="I77" i="8"/>
  <c r="AA77" i="8" s="1"/>
  <c r="J77" i="8"/>
  <c r="AB77" i="8" s="1"/>
  <c r="AX124" i="2"/>
  <c r="AV119" i="2"/>
  <c r="AV120" i="2" s="1"/>
  <c r="AV121" i="2" s="1"/>
  <c r="AV122" i="2" s="1"/>
  <c r="AV123" i="2" s="1"/>
  <c r="AV124" i="2" s="1"/>
  <c r="AV125" i="2" s="1"/>
  <c r="AV126" i="2" s="1"/>
  <c r="AV127" i="2" s="1"/>
  <c r="AV128" i="2" s="1"/>
  <c r="AV129" i="2" s="1"/>
  <c r="AX119" i="2"/>
  <c r="AX120" i="2"/>
  <c r="AX123" i="2"/>
  <c r="AX125" i="2"/>
  <c r="B113" i="8"/>
  <c r="AX128" i="2"/>
  <c r="AX122" i="2"/>
  <c r="AX129" i="2"/>
  <c r="AW129" i="2"/>
  <c r="AW128" i="2" s="1"/>
  <c r="AW127" i="2" s="1"/>
  <c r="AW126" i="2" s="1"/>
  <c r="AW125" i="2" s="1"/>
  <c r="AW124" i="2" s="1"/>
  <c r="AW123" i="2" s="1"/>
  <c r="AW122" i="2" s="1"/>
  <c r="AW121" i="2" s="1"/>
  <c r="AW120" i="2" s="1"/>
  <c r="AW119" i="2" s="1"/>
  <c r="AW118" i="2" s="1"/>
  <c r="BH128" i="2" l="1"/>
  <c r="BH129" i="2" s="1"/>
  <c r="BJ128" i="2"/>
  <c r="BI127" i="2"/>
  <c r="BI126" i="2" s="1"/>
  <c r="BI125" i="2" s="1"/>
  <c r="BI124" i="2" s="1"/>
  <c r="BI123" i="2" s="1"/>
  <c r="BJ127" i="2"/>
  <c r="BJ125" i="2"/>
  <c r="BJ124" i="2"/>
  <c r="BE121" i="2"/>
  <c r="BE120" i="2" s="1"/>
  <c r="BE119" i="2" s="1"/>
  <c r="BE118" i="2" s="1"/>
  <c r="BF121" i="2"/>
  <c r="BD120" i="2"/>
  <c r="BD121" i="2" s="1"/>
  <c r="BD122" i="2" s="1"/>
  <c r="BD123" i="2" s="1"/>
  <c r="AL117" i="2"/>
  <c r="B137" i="2" s="1"/>
  <c r="AX117" i="2"/>
  <c r="Y25" i="8" s="1"/>
  <c r="BJ126" i="2" l="1"/>
  <c r="BI122" i="2"/>
  <c r="BI121" i="2" s="1"/>
  <c r="BI120" i="2" s="1"/>
  <c r="BI119" i="2" s="1"/>
  <c r="BI118" i="2" s="1"/>
  <c r="BJ122" i="2"/>
  <c r="BD124" i="2"/>
  <c r="BF124" i="2"/>
  <c r="BJ121" i="2"/>
  <c r="BJ120" i="2"/>
  <c r="BF120" i="2"/>
  <c r="BJ117" i="2" l="1"/>
  <c r="L36" i="2" s="1"/>
  <c r="BD125" i="2"/>
  <c r="BF125" i="2"/>
  <c r="L35" i="2" l="1"/>
  <c r="L44" i="2" s="1"/>
  <c r="B144" i="2" s="1"/>
  <c r="Y97" i="8" s="1"/>
  <c r="B95" i="8" s="1"/>
  <c r="BD126" i="2"/>
  <c r="BF126" i="2"/>
  <c r="BD127" i="2" l="1"/>
  <c r="BF127" i="2"/>
  <c r="BD128" i="2" l="1"/>
  <c r="BD129" i="2" s="1"/>
  <c r="BF128" i="2"/>
  <c r="BF117" i="2" l="1"/>
</calcChain>
</file>

<file path=xl/sharedStrings.xml><?xml version="1.0" encoding="utf-8"?>
<sst xmlns="http://schemas.openxmlformats.org/spreadsheetml/2006/main" count="1260" uniqueCount="532">
  <si>
    <t>Question options</t>
  </si>
  <si>
    <t>Default</t>
  </si>
  <si>
    <t>What is the typical relative humidity during the day in each month?</t>
  </si>
  <si>
    <t>What is the typical maximum temperature during the day in each month?</t>
  </si>
  <si>
    <t>Possible answers</t>
  </si>
  <si>
    <t>Yes</t>
  </si>
  <si>
    <t>No</t>
  </si>
  <si>
    <t>Message</t>
  </si>
  <si>
    <t>Answer 1</t>
  </si>
  <si>
    <t>Answer 2</t>
  </si>
  <si>
    <t xml:space="preserve">Water is needed for evaporative cooling to work 
</t>
  </si>
  <si>
    <t>Answer 3</t>
  </si>
  <si>
    <t>Answer 4</t>
  </si>
  <si>
    <t>Answer 5</t>
  </si>
  <si>
    <t>Answer 6</t>
  </si>
  <si>
    <t>does the resondent get past the monthly table (1=yes, 0=no)</t>
  </si>
  <si>
    <t>Convert to numbers</t>
  </si>
  <si>
    <t>January</t>
  </si>
  <si>
    <t>February</t>
  </si>
  <si>
    <t>March</t>
  </si>
  <si>
    <t>April</t>
  </si>
  <si>
    <t>May</t>
  </si>
  <si>
    <t>June</t>
  </si>
  <si>
    <t>July</t>
  </si>
  <si>
    <t>August</t>
  </si>
  <si>
    <t>October</t>
  </si>
  <si>
    <t>November</t>
  </si>
  <si>
    <t>December</t>
  </si>
  <si>
    <t>any "yes" &gt;0 = Yes</t>
  </si>
  <si>
    <t>Select the typical humidity</t>
  </si>
  <si>
    <t>Select the typical maximum daily temperature</t>
  </si>
  <si>
    <t>Select (Yes/No)</t>
  </si>
  <si>
    <t>Calculations</t>
  </si>
  <si>
    <t>Answers given</t>
  </si>
  <si>
    <t xml:space="preserve"> </t>
  </si>
  <si>
    <t xml:space="preserve">Water is needed for evaporative cooling to work </t>
  </si>
  <si>
    <t>September</t>
  </si>
  <si>
    <t>Individual month answers</t>
  </si>
  <si>
    <t>sentence prefix</t>
  </si>
  <si>
    <t>sentence sufix</t>
  </si>
  <si>
    <t>message if none</t>
  </si>
  <si>
    <t>Overall answers</t>
  </si>
  <si>
    <t>May not be a good fit (not hot enough)</t>
  </si>
  <si>
    <t>Calculations (type 1)</t>
  </si>
  <si>
    <t xml:space="preserve">Evaporative cooling devices have the potential to perform well during </t>
  </si>
  <si>
    <t xml:space="preserve">The humidity is too high for evaporative cooling during </t>
  </si>
  <si>
    <t xml:space="preserve">Evaporative cooling devices perform well in the climate during </t>
  </si>
  <si>
    <t xml:space="preserve">It is too humid for evaporative cooling to be effective during </t>
  </si>
  <si>
    <t xml:space="preserve">Enter the typical humidity to see if evaporative cooling will be effective during </t>
  </si>
  <si>
    <t xml:space="preserve">Evaporative cooling devices can give fair performance in the climate during </t>
  </si>
  <si>
    <t>Evaporative cooling devices typically perform well in low humidity climates</t>
  </si>
  <si>
    <t>IF($B$52=0,"",IF(E57=1,""&amp;J$56&amp;""&amp;B57&amp;"",IF(C57=1,IF(D57=1,
IF(E57=0,""&amp;K$56&amp;""&amp;B57&amp;"",
IF(E57=2,IF(F57=0,""&amp;O$56&amp;""&amp;B57&amp;"",IF(F57=1,""&amp;N$56&amp;""&amp;B57&amp;"",IF(F57=2,""&amp;M$56&amp;""&amp;B57&amp;"",IF(F57=3,""&amp;L$56&amp;""&amp;B57&amp;"","2-")))),
IF(E57=3,IF(F57=0,""&amp;S$56&amp;""&amp;B57&amp;"",IF(F57=1,""&amp;R$56&amp;""&amp;B57&amp;"",IF(F57=2,""&amp;Q$56&amp;""&amp;B57&amp;"",IF(F57=3,""&amp;P$56&amp;""&amp;B57&amp;"","3-")))),"F-"))),I$56),""&amp;H$56&amp;""&amp;B57&amp;"")))</t>
  </si>
  <si>
    <t xml:space="preserve">Evaporative cooling devices may not be a good fit for the climate in </t>
  </si>
  <si>
    <t xml:space="preserve">Evaporative cooling devices typically give fair performance in medium humidity climates </t>
  </si>
  <si>
    <t>Great, move to the next question</t>
  </si>
  <si>
    <t xml:space="preserve">This work is licensed under the Creative Commons </t>
  </si>
  <si>
    <t>Attribution-ShareAlike 4.0 International License</t>
  </si>
  <si>
    <t>Back end calcualtions</t>
  </si>
  <si>
    <t>Water access</t>
  </si>
  <si>
    <t>Humidity</t>
  </si>
  <si>
    <t>Temperature</t>
  </si>
  <si>
    <t>Enter humidity</t>
  </si>
  <si>
    <t>Storage volume</t>
  </si>
  <si>
    <t>Location</t>
  </si>
  <si>
    <t>Access to materials</t>
  </si>
  <si>
    <t>Question 1:</t>
  </si>
  <si>
    <t>Question 2:</t>
  </si>
  <si>
    <t>Question 3:</t>
  </si>
  <si>
    <t>Question 4:</t>
  </si>
  <si>
    <t>Question 6:</t>
  </si>
  <si>
    <t>Question 7:</t>
  </si>
  <si>
    <t>Question 5:</t>
  </si>
  <si>
    <t>pass</t>
  </si>
  <si>
    <t>Poor</t>
  </si>
  <si>
    <t>Fair-Poor</t>
  </si>
  <si>
    <t>Fair</t>
  </si>
  <si>
    <t>Good</t>
  </si>
  <si>
    <t>Good-Fair</t>
  </si>
  <si>
    <t>Enter temperature</t>
  </si>
  <si>
    <t>Water is needed</t>
  </si>
  <si>
    <t>Too humid</t>
  </si>
  <si>
    <t>Not that hot</t>
  </si>
  <si>
    <t>Medium humidity</t>
  </si>
  <si>
    <t>Low humidity</t>
  </si>
  <si>
    <t>Need for improved vegetable storage</t>
  </si>
  <si>
    <t>Messages for final table</t>
  </si>
  <si>
    <t>Clay pots and sand are needed to construct a small evaporative cooling device</t>
  </si>
  <si>
    <t>Enter the relevant     currency units</t>
  </si>
  <si>
    <t>yes=1, no=-1, select = 0</t>
  </si>
  <si>
    <t>no=-1</t>
  </si>
  <si>
    <t>Costs of inadequate vegetable storage</t>
  </si>
  <si>
    <t>Cost of evaporative cooling device</t>
  </si>
  <si>
    <t>Yes/no on first need question</t>
  </si>
  <si>
    <t>1= go for Q1, 2, 3</t>
  </si>
  <si>
    <t>Water</t>
  </si>
  <si>
    <t>Temp</t>
  </si>
  <si>
    <t>W</t>
  </si>
  <si>
    <t>d</t>
  </si>
  <si>
    <t>H</t>
  </si>
  <si>
    <t>T</t>
  </si>
  <si>
    <t>d=1</t>
  </si>
  <si>
    <t>W=0</t>
  </si>
  <si>
    <t>H=1</t>
  </si>
  <si>
    <t>H=0</t>
  </si>
  <si>
    <t>H=2 T=3</t>
  </si>
  <si>
    <t>H=2, T=2</t>
  </si>
  <si>
    <t>H=2, T=1</t>
  </si>
  <si>
    <t xml:space="preserve">H=2, T=0 </t>
  </si>
  <si>
    <t>H=3, T=3</t>
  </si>
  <si>
    <t>H=3, T=2</t>
  </si>
  <si>
    <t>H=3, T=1</t>
  </si>
  <si>
    <t>H=3, T=0</t>
  </si>
  <si>
    <t>?1</t>
  </si>
  <si>
    <t>?2</t>
  </si>
  <si>
    <t>not relevant by itself</t>
  </si>
  <si>
    <t>Rating</t>
  </si>
  <si>
    <t>just ideas of what to say, not functional</t>
  </si>
  <si>
    <t>from other table</t>
  </si>
  <si>
    <t>Reason</t>
  </si>
  <si>
    <t>automatic pass (all = 1)</t>
  </si>
  <si>
    <t>good</t>
  </si>
  <si>
    <t>good-fair</t>
  </si>
  <si>
    <t>fair</t>
  </si>
  <si>
    <t>fair-poor</t>
  </si>
  <si>
    <t>poor</t>
  </si>
  <si>
    <t>H=3, but no water access (W=0)</t>
  </si>
  <si>
    <t>H=2, T=0, 1, or 2</t>
  </si>
  <si>
    <t>H=2, T=0, 1, or 2, but no water access (W=0)</t>
  </si>
  <si>
    <t>Answer 7</t>
  </si>
  <si>
    <t>Section 1: Climate conditions and access to water</t>
  </si>
  <si>
    <t>Section 2: Need for improved vegetable storage</t>
  </si>
  <si>
    <t>Section 3: Constructing and operating an evaporative cooling device</t>
  </si>
  <si>
    <t>Table only</t>
  </si>
  <si>
    <t>table + Q4</t>
  </si>
  <si>
    <t>For the questions below, only consider the types of vegetables that store well in evaporative cooling devices</t>
  </si>
  <si>
    <t>The research report that informed this decision making tool can be found at:</t>
  </si>
  <si>
    <t>Additional resources and guides to constructing evaporative cooling devices can be found at:</t>
  </si>
  <si>
    <t>A best pratice guide for constructing and operating evaporative cooling devices can be found at:</t>
  </si>
  <si>
    <t>)</t>
  </si>
  <si>
    <t>Total potential savings per month</t>
  </si>
  <si>
    <t>Total savings per month (considering conditions for evaporative cooling)</t>
  </si>
  <si>
    <t>Well</t>
  </si>
  <si>
    <t>well with water</t>
  </si>
  <si>
    <t>fair with water</t>
  </si>
  <si>
    <t>humidity too high</t>
  </si>
  <si>
    <t>need</t>
  </si>
  <si>
    <t>needs size</t>
  </si>
  <si>
    <t>shade</t>
  </si>
  <si>
    <t>potenital to save money</t>
  </si>
  <si>
    <t>amount that can be saved</t>
  </si>
  <si>
    <t>months when money can be saved</t>
  </si>
  <si>
    <t>balance</t>
  </si>
  <si>
    <t>Q5 blank</t>
  </si>
  <si>
    <t>no need Q6</t>
  </si>
  <si>
    <t>Table</t>
  </si>
  <si>
    <t>Q4</t>
  </si>
  <si>
    <t>no*</t>
  </si>
  <si>
    <t>There are no times during the year when evaporative cooling devices can operate effectively</t>
  </si>
  <si>
    <t>Key takeaways about the performance of evaporative cooling devices in the climate described (Section 1)</t>
  </si>
  <si>
    <t>Key takeaways ??? (Section 3)</t>
  </si>
  <si>
    <t>Table hum</t>
  </si>
  <si>
    <t>Please complete Question 1 of the table above in order to move to the next section</t>
  </si>
  <si>
    <t>any water?</t>
  </si>
  <si>
    <t>Q3</t>
  </si>
  <si>
    <t>Water is needed for evaporative cooling to operate effectively</t>
  </si>
  <si>
    <t>H=3, or H=2, T=0, 1, or 2</t>
  </si>
  <si>
    <t>Evaporative cooling devices can provide improved storage at some points during the year (move to the next section)</t>
  </si>
  <si>
    <t>Individual month answers -v 2</t>
  </si>
  <si>
    <t>complete (main)</t>
  </si>
  <si>
    <t>incomplete (main)</t>
  </si>
  <si>
    <t>complete (secondary)</t>
  </si>
  <si>
    <t>incomplete (secondary)</t>
  </si>
  <si>
    <t>For each month, select "Yes" if there is access to water that can be used for vegetable cooling and storage on a daily basis</t>
  </si>
  <si>
    <t>Is there a shaded area with good ventilation ranging from 2 by 2 meters to 4 by 4 meters, where a vegetable storage device can be placed?</t>
  </si>
  <si>
    <t>Evaporative cooling products may be able to provides benefits, move to the next set of questions</t>
  </si>
  <si>
    <t>A evaporative cooling device made using a clay pot and sand is well sized for the needs described</t>
  </si>
  <si>
    <t>A evaporative cooling device made using bricks and sand is well sized for the needs described</t>
  </si>
  <si>
    <t>Enter the amount of vegetables that need to be stored to see more information about a suitable evaporative cooling device (See Question 5)</t>
  </si>
  <si>
    <t>There is not a need for evaporative cooling at any point during the year</t>
  </si>
  <si>
    <t xml:space="preserve">There is not a need for evaporative cooling during </t>
  </si>
  <si>
    <t>, but adding water regularly is needed</t>
  </si>
  <si>
    <t>Key takeaways about using an evaporative cooling device for the needs described (Section 2)</t>
  </si>
  <si>
    <t xml:space="preserve">Can the amount of vegetables or leafy greens                                                                                 that need to be stored at any one time fit into a clay pot? </t>
  </si>
  <si>
    <t>Is there access to sand and bricks?</t>
  </si>
  <si>
    <t>Is there access to sand and clay pots?</t>
  </si>
  <si>
    <t xml:space="preserve">It is too humid for evaporative cooling to be effective during the times when there is a need for improved storage </t>
  </si>
  <si>
    <t>Enter the typical humidity to see if evapoative cooling will work effetively in the region of interest</t>
  </si>
  <si>
    <t>See Question 4 to determine if there is a need for evaporative cooling</t>
  </si>
  <si>
    <t>Is there a shaded area with good ventilation ranging from 1 by 1 meters to 2 by 2 meters, where a vegetable storage device can be placed?</t>
  </si>
  <si>
    <t>There is not a need for evaporative cooling technologies or products</t>
  </si>
  <si>
    <t>There is a need that could benefit from an evaporative cooling device</t>
  </si>
  <si>
    <t>There is a need for evaporative cooling technologies / products at some points during the year</t>
  </si>
  <si>
    <t>There is a need for evaporative cooling technologies / products for several months per year</t>
  </si>
  <si>
    <t>There is a need for evaporative cooling technologies / products for a majority of the year</t>
  </si>
  <si>
    <t>Enter the amount of money that is spent each month due to inadequate vegetable storage (See Question 6)</t>
  </si>
  <si>
    <t>A evaporative cooling device may be able to meet the needs described at some point during the year</t>
  </si>
  <si>
    <t>A evaporative cooling device may be able to meet the needs described for several months per year</t>
  </si>
  <si>
    <t>A evaporative cooling device may be able to meet the needs described for a majority of the year</t>
  </si>
  <si>
    <t>Access to water is required  for evaporative cooling to work during the times when there is a need for improved vegetable storage</t>
  </si>
  <si>
    <t>Enter the cost of each item listed in Question #6</t>
  </si>
  <si>
    <t>Question #5 must be answered in order to move to the next section</t>
  </si>
  <si>
    <t>See messages above for monthly reasons for poor perfomance</t>
  </si>
  <si>
    <t>See messages above for monthly detail</t>
  </si>
  <si>
    <t>See Question #3</t>
  </si>
  <si>
    <t>list of months</t>
  </si>
  <si>
    <t>won't work (main)</t>
  </si>
  <si>
    <t>won't work (secondary)</t>
  </si>
  <si>
    <t>no water (main)</t>
  </si>
  <si>
    <t>no water (secondary)</t>
  </si>
  <si>
    <t>pass (main)</t>
  </si>
  <si>
    <t>pass (secondary)</t>
  </si>
  <si>
    <t>Answer question #4 to continue</t>
  </si>
  <si>
    <t>There is not a need that can be addressed by evaporative cooling devices</t>
  </si>
  <si>
    <t>Enter "0" if there is access to the required items without purchsing them</t>
  </si>
  <si>
    <t>Humidity not complete (main)</t>
  </si>
  <si>
    <t>Humidity not complete (secondary)</t>
  </si>
  <si>
    <t>Move to the next section to calculate the amount of financial savings that an evaporative cooling device can provide</t>
  </si>
  <si>
    <t>Section 4: Financial savings that an evaporative cooling device can provide</t>
  </si>
  <si>
    <t>Results: Financial cost benefit of an evaporative cooling device</t>
  </si>
  <si>
    <t>How effective will evaporative cooling will be in each month:</t>
  </si>
  <si>
    <t>Notes on perfomance for each month:</t>
  </si>
  <si>
    <t>Yearly total</t>
  </si>
  <si>
    <t>Question 8?:</t>
  </si>
  <si>
    <t>Question 9?:</t>
  </si>
  <si>
    <t>savings message #1</t>
  </si>
  <si>
    <t>savings message #2</t>
  </si>
  <si>
    <t xml:space="preserve"> (main)</t>
  </si>
  <si>
    <t>(secondary)</t>
  </si>
  <si>
    <t>Savings &gt; cost</t>
  </si>
  <si>
    <t>Savings = 0</t>
  </si>
  <si>
    <t>Cost &gt; Savings</t>
  </si>
  <si>
    <t>Savings + weather = 0</t>
  </si>
  <si>
    <t>savings message #3</t>
  </si>
  <si>
    <t>Savings + weather &gt; 0</t>
  </si>
  <si>
    <t xml:space="preserve"> potential producers, disseminators, and users </t>
  </si>
  <si>
    <t>, and guide the calculation of potential financial savings.</t>
  </si>
  <si>
    <t>Evaporative cooling devices are not well suited during any of the times of year there is a need</t>
  </si>
  <si>
    <t>Cost =0</t>
  </si>
  <si>
    <t>complete =0 (main)</t>
  </si>
  <si>
    <t>complete =0 (secondary)</t>
  </si>
  <si>
    <t>??</t>
  </si>
  <si>
    <t>No cost was entered ??</t>
  </si>
  <si>
    <r>
      <t xml:space="preserve">Consider non-financial benefits that improved vegetable storage can provide during times of the year when evaporative cooling devices perform well (See </t>
    </r>
    <r>
      <rPr>
        <i/>
        <sz val="11"/>
        <color theme="1"/>
        <rFont val="Calibri"/>
        <family val="2"/>
        <scheme val="minor"/>
      </rPr>
      <t>Section 1</t>
    </r>
    <r>
      <rPr>
        <sz val="11"/>
        <color theme="1"/>
        <rFont val="Calibri"/>
        <family val="2"/>
        <scheme val="minor"/>
      </rPr>
      <t>)</t>
    </r>
  </si>
  <si>
    <t>No savings have been entered into the table for Question 7</t>
  </si>
  <si>
    <t>Designed for potential producers, disseminators, and users to determine if evaporative cooling devices are suitable for their context</t>
  </si>
  <si>
    <t>Decision Making Tool for Vegetable Storage with Evaporative Cooling Devices</t>
  </si>
  <si>
    <t>http://hanschen.org/koppen/</t>
  </si>
  <si>
    <t>Detailed information on typical climate conditions in many regions around the world can be found at:</t>
  </si>
  <si>
    <t>Evaporative cooling devices operate through the evaporation of water, which must be added roughly once per day.          They are most effective in low humidity environments (&lt; 40% relative humidity) and provide the most benefit when in hotter climates. A world map showing where hot and dry climates ("BWh" and "BSh") are present can be found at:</t>
  </si>
  <si>
    <t>*Only the cells with a white background can be edited</t>
  </si>
  <si>
    <t>Move to the next section to calculate the cost of a clay pot cooler</t>
  </si>
  <si>
    <t>clay pot cooler</t>
  </si>
  <si>
    <t>Clay pot cooler</t>
  </si>
  <si>
    <t>Keeping a clay pot cooler in a shady and open area will allow it to achieve the best performance</t>
  </si>
  <si>
    <t>To properly function, the clay pot cooler must be in a shady and relatively open area so that the water can evaporate</t>
  </si>
  <si>
    <t>Great, move to next section to calcuate the cost of constructing a clay pot cooler</t>
  </si>
  <si>
    <t>Cost of a clay pot cooler</t>
  </si>
  <si>
    <t xml:space="preserve"> Bricks (typically 400 - 800 bricks are needed)</t>
  </si>
  <si>
    <t xml:space="preserve"> Sand (enough to fill the space between the bricks)</t>
  </si>
  <si>
    <t xml:space="preserve"> Wood frame for the top of the brick evaporative cooling chamber</t>
  </si>
  <si>
    <t xml:space="preserve"> Cloth cover for the top of the brick evaporative cooling chamber</t>
  </si>
  <si>
    <t xml:space="preserve"> Structure to keep the brick evaporative cooling chamber in the shade</t>
  </si>
  <si>
    <t xml:space="preserve"> Inner pot</t>
  </si>
  <si>
    <t xml:space="preserve"> Outer pot/dish</t>
  </si>
  <si>
    <t xml:space="preserve"> Sand (enough to fill the space between the pots)</t>
  </si>
  <si>
    <t xml:space="preserve"> Cloth cover for pot</t>
  </si>
  <si>
    <t xml:space="preserve"> Structure to keep the clay pot cooler in the shade</t>
  </si>
  <si>
    <t>Move to the next section to calculate the cost of a brick evaporative cooling chamber</t>
  </si>
  <si>
    <t>brick evaporative cooling chamber</t>
  </si>
  <si>
    <t>**need to alter this an include a link for background on brick evaporative cooling chambers and clay pot coolers</t>
  </si>
  <si>
    <t>To properly function, the evaporative cooling chamber must be in a shady and relatively open area so that the water can evaporate</t>
  </si>
  <si>
    <t>Great, move to the next section to calculate the cost of constructing an evaporative cooling chamber</t>
  </si>
  <si>
    <t>Keeping an evaporative cooling chamber in a shady and open area will allow it to achieve the best performance</t>
  </si>
  <si>
    <t>Bricks and sand are needed to construct a brick evaporative cooling chamber</t>
  </si>
  <si>
    <t>brick evaportaive cooling chamber</t>
  </si>
  <si>
    <t xml:space="preserve">Cost of a brick evaporative cooling chamber </t>
  </si>
  <si>
    <t>The goal of this question is to determine if evaporaitve cooling will provide value in the months when there is a need</t>
  </si>
  <si>
    <t xml:space="preserve">If the exact amounts are not known, it is OK to enter an estimate </t>
  </si>
  <si>
    <t xml:space="preserve"> Enter any other items</t>
  </si>
  <si>
    <t>Information about local climate conditions</t>
  </si>
  <si>
    <t>See the resources in the box above for information about local climate conditions around the world</t>
  </si>
  <si>
    <t>USD</t>
  </si>
  <si>
    <t>Product</t>
  </si>
  <si>
    <t>Ethylene Production</t>
  </si>
  <si>
    <t>Approximate Storage Life</t>
  </si>
  <si>
    <t>Comments</t>
  </si>
  <si>
    <t>Apples</t>
  </si>
  <si>
    <t>90-95</t>
  </si>
  <si>
    <t>High</t>
  </si>
  <si>
    <t>1-12 months</t>
  </si>
  <si>
    <t>Apricots</t>
  </si>
  <si>
    <t>1-3 weeks</t>
  </si>
  <si>
    <t>Artichokes</t>
  </si>
  <si>
    <t>Artichokes, Jerusalem</t>
  </si>
  <si>
    <t>4-5 months</t>
  </si>
  <si>
    <t>Asparagus</t>
  </si>
  <si>
    <t>95-100</t>
  </si>
  <si>
    <t>2-3 weeks</t>
  </si>
  <si>
    <t>Avocados, ripe</t>
  </si>
  <si>
    <t>85-95</t>
  </si>
  <si>
    <t>Avocados, unripe</t>
  </si>
  <si>
    <t>Low</t>
  </si>
  <si>
    <t>Yes, Very</t>
  </si>
  <si>
    <t>Keep away from ethylene producing fruits</t>
  </si>
  <si>
    <t>Bananas, green</t>
  </si>
  <si>
    <t>Bananas, ripe</t>
  </si>
  <si>
    <t>Medium</t>
  </si>
  <si>
    <t>Basil</t>
  </si>
  <si>
    <t>Beans, dry</t>
  </si>
  <si>
    <t>40-50</t>
  </si>
  <si>
    <t>6-10 months</t>
  </si>
  <si>
    <t>Beans, green or snap</t>
  </si>
  <si>
    <t>7-10 days</t>
  </si>
  <si>
    <t>Beans, sprouts</t>
  </si>
  <si>
    <t>7-9 days</t>
  </si>
  <si>
    <t>Beans. Lima</t>
  </si>
  <si>
    <t>5-7 days</t>
  </si>
  <si>
    <t>Beets</t>
  </si>
  <si>
    <t>Beets, bunched</t>
  </si>
  <si>
    <t>98-100</t>
  </si>
  <si>
    <t>10-14 days</t>
  </si>
  <si>
    <t>Beets, topped</t>
  </si>
  <si>
    <t>4-6 months</t>
  </si>
  <si>
    <t>Blackberries</t>
  </si>
  <si>
    <t>Very Low</t>
  </si>
  <si>
    <t>2-3 days</t>
  </si>
  <si>
    <t>Blueberries</t>
  </si>
  <si>
    <t>Bok Choy</t>
  </si>
  <si>
    <t>Broccoli</t>
  </si>
  <si>
    <t>Brussels Sprouts</t>
  </si>
  <si>
    <t>3-5 weeks</t>
  </si>
  <si>
    <t>Bunched Greens</t>
  </si>
  <si>
    <t>Beets, Chard, Green Onions, Mustard, Parsley, Radish, Spinach, Turnip</t>
  </si>
  <si>
    <t>Cabbage, Chinese</t>
  </si>
  <si>
    <t>2-3 months</t>
  </si>
  <si>
    <t>Cabbage, early</t>
  </si>
  <si>
    <t>3-6 weeks</t>
  </si>
  <si>
    <t>Cabbage, late</t>
  </si>
  <si>
    <t>5-6 months</t>
  </si>
  <si>
    <t>Cantaloupe</t>
  </si>
  <si>
    <t>Carrots, bunched</t>
  </si>
  <si>
    <t>2 weeks</t>
  </si>
  <si>
    <t>Ethylene may cause a bitter flavor</t>
  </si>
  <si>
    <t>Carrots, immature</t>
  </si>
  <si>
    <t>4-6 weeks</t>
  </si>
  <si>
    <t>Carrots, mature</t>
  </si>
  <si>
    <t>7-9 months</t>
  </si>
  <si>
    <t>Cauliflower</t>
  </si>
  <si>
    <t>95-98</t>
  </si>
  <si>
    <t>3-4 weeks</t>
  </si>
  <si>
    <t>Celery</t>
  </si>
  <si>
    <t>Celeriac</t>
  </si>
  <si>
    <t>97-99</t>
  </si>
  <si>
    <t>6-8 months</t>
  </si>
  <si>
    <t>Chard</t>
  </si>
  <si>
    <t>Cherries</t>
  </si>
  <si>
    <t>Cherries, sour</t>
  </si>
  <si>
    <t>3-7 days</t>
  </si>
  <si>
    <t>Cherries, sweet</t>
  </si>
  <si>
    <t>Chicory</t>
  </si>
  <si>
    <t>Chicory, witloof</t>
  </si>
  <si>
    <t>2-4 weeks</t>
  </si>
  <si>
    <t>Chinese Pea Pods</t>
  </si>
  <si>
    <t>Coconuts</t>
  </si>
  <si>
    <t>80-85</t>
  </si>
  <si>
    <t>Collards</t>
  </si>
  <si>
    <t>Corn, sweet</t>
  </si>
  <si>
    <t>5-8 days</t>
  </si>
  <si>
    <t>Cranberries</t>
  </si>
  <si>
    <t>Cucumbers</t>
  </si>
  <si>
    <t>Currants</t>
  </si>
  <si>
    <t>1-4 weeks</t>
  </si>
  <si>
    <t>Eggplant</t>
  </si>
  <si>
    <t>1 week</t>
  </si>
  <si>
    <t>Elderberries</t>
  </si>
  <si>
    <t>1-2 weeks</t>
  </si>
  <si>
    <t>Endive</t>
  </si>
  <si>
    <t>Escarole</t>
  </si>
  <si>
    <t>Figs</t>
  </si>
  <si>
    <t>Garlic</t>
  </si>
  <si>
    <t>65-70</t>
  </si>
  <si>
    <t>6-7 months</t>
  </si>
  <si>
    <t>Ginger Root</t>
  </si>
  <si>
    <t>Gooseberries</t>
  </si>
  <si>
    <t>Grapefruit</t>
  </si>
  <si>
    <t>Grapes</t>
  </si>
  <si>
    <t>2-8 weeks</t>
  </si>
  <si>
    <t>Green Beans</t>
  </si>
  <si>
    <t>Green Peas</t>
  </si>
  <si>
    <t>Greens, leafy</t>
  </si>
  <si>
    <t>Guavas</t>
  </si>
  <si>
    <t>Herbs</t>
  </si>
  <si>
    <t>Horseradish</t>
  </si>
  <si>
    <t>10-12 months</t>
  </si>
  <si>
    <t>Jicama</t>
  </si>
  <si>
    <t>1-2 months</t>
  </si>
  <si>
    <t>Kale</t>
  </si>
  <si>
    <t>Kiwi, ripe</t>
  </si>
  <si>
    <t>Kiwi, unripe</t>
  </si>
  <si>
    <t>Ne</t>
  </si>
  <si>
    <t>Kohlrabi</t>
  </si>
  <si>
    <t>Leeks</t>
  </si>
  <si>
    <t>Lemons</t>
  </si>
  <si>
    <t>Lettuce</t>
  </si>
  <si>
    <t>Limes</t>
  </si>
  <si>
    <t>Lychees</t>
  </si>
  <si>
    <t>Mangos</t>
  </si>
  <si>
    <t>Melons, Casaba/Persian</t>
  </si>
  <si>
    <t>Melons, Crenshaw</t>
  </si>
  <si>
    <t>Melons, Honey Dew</t>
  </si>
  <si>
    <t>Mushrooms</t>
  </si>
  <si>
    <t>3-4 days</t>
  </si>
  <si>
    <t>Napa</t>
  </si>
  <si>
    <t>Nectarines</t>
  </si>
  <si>
    <t>Okra</t>
  </si>
  <si>
    <t>Onions</t>
  </si>
  <si>
    <t>65-75</t>
  </si>
  <si>
    <t>Oranges</t>
  </si>
  <si>
    <t>Papayas</t>
  </si>
  <si>
    <t>Parsley</t>
  </si>
  <si>
    <t>Parsnips</t>
  </si>
  <si>
    <t>Peaches</t>
  </si>
  <si>
    <t>Pears</t>
  </si>
  <si>
    <t>2-7 months</t>
  </si>
  <si>
    <t>Peas, green</t>
  </si>
  <si>
    <t>Peas, southern</t>
  </si>
  <si>
    <t>6-8 days</t>
  </si>
  <si>
    <t>Peppers, hot chili</t>
  </si>
  <si>
    <t>60-70</t>
  </si>
  <si>
    <t>6 months</t>
  </si>
  <si>
    <t>Peppers, sweet</t>
  </si>
  <si>
    <t>Persimmons</t>
  </si>
  <si>
    <t>Pineapples</t>
  </si>
  <si>
    <t>Odor may influence avacados</t>
  </si>
  <si>
    <t>Plums</t>
  </si>
  <si>
    <t>2-5 weeks</t>
  </si>
  <si>
    <t>Pomegranates</t>
  </si>
  <si>
    <t>Potatoes</t>
  </si>
  <si>
    <t>Precut Fruit</t>
  </si>
  <si>
    <t>Precut Vegetables</t>
  </si>
  <si>
    <t>Prunes</t>
  </si>
  <si>
    <t>Pumpkins</t>
  </si>
  <si>
    <t>Quinces</t>
  </si>
  <si>
    <t>Radishes, spring</t>
  </si>
  <si>
    <t>Radishes, winter</t>
  </si>
  <si>
    <t>2-4 months</t>
  </si>
  <si>
    <t>Raspberries</t>
  </si>
  <si>
    <t>Rhubarb</t>
  </si>
  <si>
    <t>Rutabagas</t>
  </si>
  <si>
    <t>Salad Mixes</t>
  </si>
  <si>
    <t>Salsify</t>
  </si>
  <si>
    <t>Spinach</t>
  </si>
  <si>
    <t>Sprouts</t>
  </si>
  <si>
    <t>Squashes, summer</t>
  </si>
  <si>
    <t>Squashes, winter</t>
  </si>
  <si>
    <t>50-70</t>
  </si>
  <si>
    <t>1-6 months</t>
  </si>
  <si>
    <t>Strawberries</t>
  </si>
  <si>
    <t>Sweet Potatoes</t>
  </si>
  <si>
    <t>85-90</t>
  </si>
  <si>
    <t>4-7 months</t>
  </si>
  <si>
    <t>Tangerines</t>
  </si>
  <si>
    <t>Tomatoes, mature green</t>
  </si>
  <si>
    <t>Tomatoes, ripe</t>
  </si>
  <si>
    <t>4-7 days</t>
  </si>
  <si>
    <t>Turnip greens</t>
  </si>
  <si>
    <t>Turnips</t>
  </si>
  <si>
    <t>Watercress</t>
  </si>
  <si>
    <t>Watermelon</t>
  </si>
  <si>
    <t>https://www.engineeringtoolbox.com/fruits-vegetables-storage-conditions-d_710.html</t>
  </si>
  <si>
    <t>Accessed May 6th, 2018</t>
  </si>
  <si>
    <r>
      <t>Sensitive to Ethylene </t>
    </r>
    <r>
      <rPr>
        <b/>
        <vertAlign val="superscript"/>
        <sz val="12"/>
        <color theme="1"/>
        <rFont val="Calibri"/>
        <family val="2"/>
        <scheme val="minor"/>
      </rPr>
      <t>3)</t>
    </r>
  </si>
  <si>
    <t>3) Products sensitive to ethylene should not be stored together with products producing ethylene. Exposure to ethylene may soften the flesh, adding bitter taste to the product or/and accelerate ripening.</t>
  </si>
  <si>
    <t>Data adapted from:</t>
  </si>
  <si>
    <t>-1 to 4</t>
  </si>
  <si>
    <t>-1 to 0</t>
  </si>
  <si>
    <t>0 to 2</t>
  </si>
  <si>
    <t>3 to 7</t>
  </si>
  <si>
    <t>7 to 10</t>
  </si>
  <si>
    <t>17 to 21</t>
  </si>
  <si>
    <t>13 to 16</t>
  </si>
  <si>
    <t>11 to 15</t>
  </si>
  <si>
    <t>4 to 10</t>
  </si>
  <si>
    <t>4 to 7</t>
  </si>
  <si>
    <t>3 to 5</t>
  </si>
  <si>
    <t>0 to 1</t>
  </si>
  <si>
    <t>2 to 3</t>
  </si>
  <si>
    <t>-1 to -1</t>
  </si>
  <si>
    <t>3 to 6</t>
  </si>
  <si>
    <t>10 to 13</t>
  </si>
  <si>
    <t>8 to 12</t>
  </si>
  <si>
    <t>16 to 18</t>
  </si>
  <si>
    <t>13 to 18</t>
  </si>
  <si>
    <t>11 to 13</t>
  </si>
  <si>
    <t>9 to 13</t>
  </si>
  <si>
    <t>-2 to -1</t>
  </si>
  <si>
    <t>4 to 5</t>
  </si>
  <si>
    <t>0 to 10</t>
  </si>
  <si>
    <t>7 to 13</t>
  </si>
  <si>
    <t>5 to 10</t>
  </si>
  <si>
    <t>13 to 21</t>
  </si>
  <si>
    <r>
      <t>Water Sprinkle Accepted </t>
    </r>
    <r>
      <rPr>
        <b/>
        <vertAlign val="superscript"/>
        <sz val="12"/>
        <color theme="1"/>
        <rFont val="Calibri"/>
        <family val="2"/>
        <scheme val="minor"/>
      </rPr>
      <t>2)</t>
    </r>
  </si>
  <si>
    <r>
      <t>Top Ice Accepted </t>
    </r>
    <r>
      <rPr>
        <b/>
        <vertAlign val="superscript"/>
        <sz val="12"/>
        <color theme="1"/>
        <rFont val="Calibri"/>
        <family val="2"/>
        <scheme val="minor"/>
      </rPr>
      <t>1)</t>
    </r>
  </si>
  <si>
    <t>Optimal Humidity (%)</t>
  </si>
  <si>
    <r>
      <t>Optimal Storage Temperature (</t>
    </r>
    <r>
      <rPr>
        <b/>
        <vertAlign val="superscript"/>
        <sz val="12"/>
        <color theme="1"/>
        <rFont val="Calibri"/>
        <family val="2"/>
        <scheme val="minor"/>
      </rPr>
      <t>o</t>
    </r>
    <r>
      <rPr>
        <b/>
        <sz val="12"/>
        <color theme="1"/>
        <rFont val="Calibri"/>
        <family val="2"/>
        <scheme val="minor"/>
      </rPr>
      <t>C)</t>
    </r>
  </si>
  <si>
    <r>
      <t xml:space="preserve">Extended storage 0 to 2 </t>
    </r>
    <r>
      <rPr>
        <vertAlign val="superscript"/>
        <sz val="12"/>
        <color theme="1"/>
        <rFont val="Calibri"/>
        <family val="2"/>
        <scheme val="minor"/>
      </rPr>
      <t>o</t>
    </r>
    <r>
      <rPr>
        <sz val="12"/>
        <color theme="1"/>
        <rFont val="Calibri"/>
        <family val="2"/>
        <scheme val="minor"/>
      </rPr>
      <t>C</t>
    </r>
  </si>
  <si>
    <r>
      <t xml:space="preserve">Chill sensitive stored at 2 to 4 </t>
    </r>
    <r>
      <rPr>
        <vertAlign val="superscript"/>
        <sz val="12"/>
        <color theme="1"/>
        <rFont val="Calibri"/>
        <family val="2"/>
        <scheme val="minor"/>
      </rPr>
      <t>o</t>
    </r>
    <r>
      <rPr>
        <sz val="12"/>
        <color theme="1"/>
        <rFont val="Calibri"/>
        <family val="2"/>
        <scheme val="minor"/>
      </rPr>
      <t>C</t>
    </r>
  </si>
  <si>
    <t>1) Top icing the products may be very effective keeping the temperature low and the product surface close to 100% humidity.</t>
  </si>
  <si>
    <r>
      <t xml:space="preserve">Riping can be delayed by storing at 13 to 16 </t>
    </r>
    <r>
      <rPr>
        <vertAlign val="superscript"/>
        <sz val="12"/>
        <color theme="1"/>
        <rFont val="Calibri"/>
        <family val="2"/>
        <scheme val="minor"/>
      </rPr>
      <t>o</t>
    </r>
    <r>
      <rPr>
        <sz val="12"/>
        <color theme="1"/>
        <rFont val="Calibri"/>
        <family val="2"/>
        <scheme val="minor"/>
      </rPr>
      <t>C</t>
    </r>
  </si>
  <si>
    <r>
      <t xml:space="preserve">Riper melons may be stored at 7 to 10 </t>
    </r>
    <r>
      <rPr>
        <vertAlign val="superscript"/>
        <sz val="12"/>
        <color theme="1"/>
        <rFont val="Calibri"/>
        <family val="2"/>
        <scheme val="minor"/>
      </rPr>
      <t>o</t>
    </r>
    <r>
      <rPr>
        <sz val="12"/>
        <color theme="1"/>
        <rFont val="Calibri"/>
        <family val="2"/>
        <scheme val="minor"/>
      </rPr>
      <t>C</t>
    </r>
  </si>
  <si>
    <r>
      <t xml:space="preserve">May be stored at 13 to 21 </t>
    </r>
    <r>
      <rPr>
        <vertAlign val="superscript"/>
        <sz val="12"/>
        <color theme="1"/>
        <rFont val="Calibri"/>
        <family val="2"/>
        <scheme val="minor"/>
      </rPr>
      <t>o</t>
    </r>
    <r>
      <rPr>
        <sz val="12"/>
        <color theme="1"/>
        <rFont val="Calibri"/>
        <family val="2"/>
        <scheme val="minor"/>
      </rPr>
      <t>C for shorter periods</t>
    </r>
  </si>
  <si>
    <t>2) Spraying with water may be effective by keeping the temperature low (evaporative cooling) and the surface 100% humidity.</t>
  </si>
  <si>
    <t>Guide to Optimal Storage Conditions for Common Fruits and Vegetables</t>
  </si>
  <si>
    <t>Proper storage conditions are required to maximize storage life and maintain quality of harvested fruits and vegetables.                                                                                                                                                                                     Fresh fruits need low temperature and high relative humidity to reduce the respiration and slow down the metabolic processes.                                                                                                                                                                           The table below indicates optimal temperatures and moisture conditions for some common fruits and vegetables.</t>
  </si>
  <si>
    <r>
      <t xml:space="preserve">**Use the </t>
    </r>
    <r>
      <rPr>
        <b/>
        <sz val="14"/>
        <color theme="1"/>
        <rFont val="Arial"/>
        <family val="2"/>
      </rPr>
      <t xml:space="preserve">Drop Down Menu </t>
    </r>
    <r>
      <rPr>
        <sz val="14"/>
        <color theme="1"/>
        <rFont val="Arial"/>
        <family val="2"/>
      </rPr>
      <t>for Questions 1, 2, 4, and 5</t>
    </r>
  </si>
  <si>
    <t xml:space="preserve"> Vegetables that spoil</t>
  </si>
  <si>
    <t xml:space="preserve"> Select item description</t>
  </si>
  <si>
    <t xml:space="preserve"> Extra trips to the market</t>
  </si>
  <si>
    <t xml:space="preserve"> Lower price for vegetable sales</t>
  </si>
  <si>
    <t xml:space="preserve"> Higher price for vegetable purchase</t>
  </si>
  <si>
    <r>
      <rPr>
        <u/>
        <sz val="10.5"/>
        <color theme="1"/>
        <rFont val="Arial"/>
        <family val="2"/>
      </rPr>
      <t>Evaporative cooling devices can provide</t>
    </r>
    <r>
      <rPr>
        <sz val="10.5"/>
        <color theme="1"/>
        <rFont val="Arial"/>
        <family val="2"/>
      </rPr>
      <t>:                                                                                                                                                                                                                                                                                                                                                                           - a high humidity environment (&gt; 80% relative humidity)                                                                                                                                                                                                                                                                                                                                                                          - a temperature decrease of 5 to 10 degrees Celcius (compared to the ambient temperature)</t>
    </r>
  </si>
  <si>
    <t xml:space="preserve"> Do the current vegetable storage options lead to any of the following in                                                                 
 the communities of interest?                                                            
   -  Vegetable spoilage (due to envoronmental conditions or pests)                                                                
   -  Vegetables not available for consumption due to inadequate storage                                                                
   -  Time or money spent on travel to purchase or sell vegetables                                                                
   -  High cost of operating vegetable storage devices</t>
  </si>
  <si>
    <r>
      <rPr>
        <sz val="11"/>
        <color theme="1"/>
        <rFont val="Arial"/>
        <family val="2"/>
      </rPr>
      <t xml:space="preserve">as part of a research project on </t>
    </r>
    <r>
      <rPr>
        <u/>
        <sz val="11"/>
        <color theme="10"/>
        <rFont val="Arial"/>
        <family val="2"/>
      </rPr>
      <t>Evaporative Cooling Technologies for Improved Vegetable Storage in Mali</t>
    </r>
  </si>
  <si>
    <t>http://d-lab.mit.edu/resources/projects/evaporative-cooling</t>
  </si>
  <si>
    <r>
      <rPr>
        <sz val="14"/>
        <color theme="1"/>
        <rFont val="Arial"/>
        <family val="2"/>
      </rPr>
      <t xml:space="preserve">Information about evaporative cooling devices, such as "evaporative cooling chambers" and "clay pot coolers", can be found at: </t>
    </r>
    <r>
      <rPr>
        <u/>
        <sz val="14"/>
        <color theme="10"/>
        <rFont val="Arial"/>
        <family val="2"/>
      </rPr>
      <t>http://d-lab.mit.edu/resources/projects/evaporative-cooling</t>
    </r>
  </si>
  <si>
    <t>http://d-lab.mit.edu/resources/projects/evaporative-cooling/weather</t>
  </si>
  <si>
    <r>
      <rPr>
        <u/>
        <sz val="10.5"/>
        <color theme="1"/>
        <rFont val="Arial"/>
        <family val="2"/>
      </rPr>
      <t>Evaporative cooling devices are</t>
    </r>
    <r>
      <rPr>
        <sz val="10.5"/>
        <color theme="1"/>
        <rFont val="Arial"/>
        <family val="2"/>
      </rPr>
      <t xml:space="preserve">: </t>
    </r>
    <r>
      <rPr>
        <sz val="10.5"/>
        <color rgb="FFFF0000"/>
        <rFont val="Arial"/>
        <family val="2"/>
      </rPr>
      <t xml:space="preserve">                                                                                                                                                                                                                                                                                                                                                                                                                                   </t>
    </r>
    <r>
      <rPr>
        <sz val="10.5"/>
        <color theme="1"/>
        <rFont val="Arial"/>
        <family val="2"/>
      </rPr>
      <t xml:space="preserve">- </t>
    </r>
    <r>
      <rPr>
        <b/>
        <sz val="10.5"/>
        <color rgb="FF008000"/>
        <rFont val="Arial"/>
        <family val="2"/>
      </rPr>
      <t xml:space="preserve">suitable </t>
    </r>
    <r>
      <rPr>
        <sz val="10.5"/>
        <color theme="1"/>
        <rFont val="Arial"/>
        <family val="2"/>
      </rPr>
      <t xml:space="preserve">for vegetables such as: </t>
    </r>
    <r>
      <rPr>
        <b/>
        <i/>
        <sz val="10.5"/>
        <color theme="1"/>
        <rFont val="Arial"/>
        <family val="2"/>
      </rPr>
      <t>tomato, eggplant, leafy greens, pepper, and okra</t>
    </r>
    <r>
      <rPr>
        <sz val="10.5"/>
        <color theme="1"/>
        <rFont val="Arial"/>
        <family val="2"/>
      </rPr>
      <t xml:space="preserve"> that </t>
    </r>
    <r>
      <rPr>
        <b/>
        <sz val="10.5"/>
        <color rgb="FF008000"/>
        <rFont val="Arial"/>
        <family val="2"/>
      </rPr>
      <t>store well in high humidity conditions</t>
    </r>
    <r>
      <rPr>
        <sz val="10.5"/>
        <color theme="1"/>
        <rFont val="Arial"/>
        <family val="2"/>
      </rPr>
      <t xml:space="preserve"> </t>
    </r>
    <r>
      <rPr>
        <sz val="10.5"/>
        <color rgb="FFFF0000"/>
        <rFont val="Arial"/>
        <family val="2"/>
      </rPr>
      <t xml:space="preserve">                                                                                                                                                                                                                                                                                            </t>
    </r>
    <r>
      <rPr>
        <sz val="10.5"/>
        <color theme="1"/>
        <rFont val="Arial"/>
        <family val="2"/>
      </rPr>
      <t xml:space="preserve">- </t>
    </r>
    <r>
      <rPr>
        <b/>
        <sz val="10.5"/>
        <color rgb="FFFF0000"/>
        <rFont val="Arial"/>
        <family val="2"/>
      </rPr>
      <t>not suitable</t>
    </r>
    <r>
      <rPr>
        <sz val="10.5"/>
        <color rgb="FF000000"/>
        <rFont val="Arial"/>
        <family val="2"/>
      </rPr>
      <t xml:space="preserve"> </t>
    </r>
    <r>
      <rPr>
        <sz val="10.5"/>
        <color theme="1"/>
        <rFont val="Arial"/>
        <family val="2"/>
      </rPr>
      <t xml:space="preserve">for foods such as: </t>
    </r>
    <r>
      <rPr>
        <b/>
        <i/>
        <sz val="10.5"/>
        <color theme="1"/>
        <rFont val="Arial"/>
        <family val="2"/>
      </rPr>
      <t>onion, coffee, millet, garlic, or maize</t>
    </r>
    <r>
      <rPr>
        <i/>
        <sz val="10.5"/>
        <color theme="1"/>
        <rFont val="Arial"/>
        <family val="2"/>
      </rPr>
      <t xml:space="preserve"> </t>
    </r>
    <r>
      <rPr>
        <sz val="10.5"/>
        <color theme="1"/>
        <rFont val="Arial"/>
        <family val="2"/>
      </rPr>
      <t xml:space="preserve">that </t>
    </r>
    <r>
      <rPr>
        <b/>
        <sz val="10.5"/>
        <color rgb="FFFF0000"/>
        <rFont val="Arial"/>
        <family val="2"/>
      </rPr>
      <t>do not store well in high humidity conditions</t>
    </r>
    <r>
      <rPr>
        <sz val="10.5"/>
        <color rgb="FFFF0000"/>
        <rFont val="Arial"/>
        <family val="2"/>
      </rPr>
      <t xml:space="preserve">                                                                                                                                                                                                                                                                                                                                         </t>
    </r>
    <r>
      <rPr>
        <sz val="10.5"/>
        <color theme="1"/>
        <rFont val="Arial"/>
        <family val="2"/>
      </rPr>
      <t>-</t>
    </r>
    <r>
      <rPr>
        <sz val="10.5"/>
        <color rgb="FFFF0000"/>
        <rFont val="Arial"/>
        <family val="2"/>
      </rPr>
      <t xml:space="preserve"> </t>
    </r>
    <r>
      <rPr>
        <b/>
        <sz val="10.5"/>
        <color rgb="FFFF0000"/>
        <rFont val="Arial"/>
        <family val="2"/>
      </rPr>
      <t xml:space="preserve">not suitable </t>
    </r>
    <r>
      <rPr>
        <sz val="10.5"/>
        <color theme="1"/>
        <rFont val="Arial"/>
        <family val="2"/>
      </rPr>
      <t xml:space="preserve">for items such as: </t>
    </r>
    <r>
      <rPr>
        <b/>
        <i/>
        <sz val="10.5"/>
        <color theme="1"/>
        <rFont val="Arial"/>
        <family val="2"/>
      </rPr>
      <t>medicine, meat, and dairy produts</t>
    </r>
    <r>
      <rPr>
        <sz val="10.5"/>
        <color theme="1"/>
        <rFont val="Arial"/>
        <family val="2"/>
      </rPr>
      <t xml:space="preserve"> that</t>
    </r>
    <r>
      <rPr>
        <sz val="10.5"/>
        <color rgb="FFFF0000"/>
        <rFont val="Arial"/>
        <family val="2"/>
      </rPr>
      <t xml:space="preserve"> </t>
    </r>
    <r>
      <rPr>
        <b/>
        <sz val="10.5"/>
        <color rgb="FFFF0000"/>
        <rFont val="Arial"/>
        <family val="2"/>
      </rPr>
      <t xml:space="preserve">require stable low temperature environments                                                                                                                                                                                                                                                                                                                                 </t>
    </r>
    <r>
      <rPr>
        <sz val="10.5"/>
        <color theme="1"/>
        <rFont val="Arial"/>
        <family val="2"/>
      </rPr>
      <t>See the "Storage conditions" tab for the optimal storage conditions for common fruits and vegetables</t>
    </r>
  </si>
  <si>
    <t>http://d-lab.mit.edu/resources/projects/Evaporative-Cooling-Evaluation-Report</t>
  </si>
  <si>
    <t>http://d-lab.mit.edu/resources/projects/Evaporative-Cooling-Best-Practices-Guide</t>
  </si>
  <si>
    <t>This tool was created by MIT D-Lab's Research Group</t>
  </si>
  <si>
    <t>Information on the required materials and best practices for constructing a                                                                                                                  clay pot cooler can be found at:</t>
  </si>
  <si>
    <t>Information on the required materials and best practices for constructing a                                                                                                                  brick evaporative cooling chamber can be found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</si>
</sst>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4" x14ac:knownFonts="1">
    <font>
      <sz val="12"/>
      <color theme="1"/>
      <name val="Calibri"/>
      <family val="2"/>
      <scheme val="minor"/>
    </font>
    <font>
      <sz val="12"/>
      <color rgb="FF000000"/>
      <name val="Calibri"/>
      <family val="2"/>
      <scheme val="minor"/>
    </font>
    <font>
      <i/>
      <sz val="12"/>
      <color rgb="FF000000"/>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sz val="12"/>
      <color theme="0" tint="-0.499984740745262"/>
      <name val="Calibri"/>
      <family val="2"/>
      <scheme val="minor"/>
    </font>
    <font>
      <b/>
      <sz val="11"/>
      <color theme="1"/>
      <name val="Calibri"/>
      <family val="2"/>
      <scheme val="minor"/>
    </font>
    <font>
      <sz val="11"/>
      <color rgb="FF000000"/>
      <name val="Calibri"/>
      <family val="2"/>
      <scheme val="minor"/>
    </font>
    <font>
      <i/>
      <sz val="11"/>
      <color theme="1"/>
      <name val="Calibri"/>
      <family val="2"/>
      <scheme val="minor"/>
    </font>
    <font>
      <u/>
      <sz val="11"/>
      <color theme="10"/>
      <name val="Calibri"/>
      <family val="2"/>
      <scheme val="minor"/>
    </font>
    <font>
      <sz val="11"/>
      <color theme="1"/>
      <name val="Calibri"/>
      <family val="2"/>
      <scheme val="minor"/>
    </font>
    <font>
      <sz val="11"/>
      <color theme="0" tint="-0.499984740745262"/>
      <name val="Calibri"/>
      <family val="2"/>
      <scheme val="minor"/>
    </font>
    <font>
      <u/>
      <sz val="11"/>
      <color theme="1"/>
      <name val="Calibri"/>
      <family val="2"/>
      <scheme val="minor"/>
    </font>
    <font>
      <sz val="14"/>
      <color theme="1"/>
      <name val="Calibri"/>
      <family val="2"/>
      <scheme val="minor"/>
    </font>
    <font>
      <b/>
      <sz val="12"/>
      <color theme="1"/>
      <name val="Calibri"/>
      <family val="2"/>
      <scheme val="minor"/>
    </font>
    <font>
      <b/>
      <vertAlign val="superscript"/>
      <sz val="12"/>
      <color theme="1"/>
      <name val="Calibri"/>
      <family val="2"/>
      <scheme val="minor"/>
    </font>
    <font>
      <vertAlign val="superscript"/>
      <sz val="12"/>
      <color theme="1"/>
      <name val="Calibri"/>
      <family val="2"/>
      <scheme val="minor"/>
    </font>
    <font>
      <b/>
      <sz val="12"/>
      <color rgb="FF000000"/>
      <name val="Calibri"/>
      <family val="2"/>
      <scheme val="minor"/>
    </font>
    <font>
      <b/>
      <sz val="18"/>
      <color rgb="FF000000"/>
      <name val="Calibri"/>
      <family val="2"/>
      <scheme val="minor"/>
    </font>
    <font>
      <sz val="10"/>
      <color rgb="FF000000"/>
      <name val="Geneva"/>
      <family val="2"/>
    </font>
    <font>
      <sz val="14"/>
      <color theme="1"/>
      <name val="Arial"/>
      <family val="2"/>
    </font>
    <font>
      <b/>
      <sz val="11"/>
      <color theme="1"/>
      <name val="Arial"/>
      <family val="2"/>
    </font>
    <font>
      <sz val="11"/>
      <color theme="1" tint="0.499984740745262"/>
      <name val="Arial"/>
      <family val="2"/>
    </font>
    <font>
      <sz val="11"/>
      <color theme="1"/>
      <name val="Arial"/>
      <family val="2"/>
    </font>
    <font>
      <sz val="24"/>
      <color theme="1"/>
      <name val="Arial"/>
      <family val="2"/>
    </font>
    <font>
      <u/>
      <sz val="11"/>
      <color theme="10"/>
      <name val="Arial"/>
      <family val="2"/>
    </font>
    <font>
      <sz val="12"/>
      <color theme="1"/>
      <name val="Arial"/>
      <family val="2"/>
    </font>
    <font>
      <sz val="20"/>
      <color theme="1"/>
      <name val="Arial"/>
      <family val="2"/>
    </font>
    <font>
      <sz val="16"/>
      <color theme="1"/>
      <name val="Arial"/>
      <family val="2"/>
    </font>
    <font>
      <b/>
      <sz val="14"/>
      <color theme="1"/>
      <name val="Arial"/>
      <family val="2"/>
    </font>
    <font>
      <sz val="11"/>
      <color rgb="FF000000"/>
      <name val="Arial"/>
      <family val="2"/>
    </font>
    <font>
      <i/>
      <sz val="11"/>
      <color theme="1"/>
      <name val="Arial"/>
      <family val="2"/>
    </font>
    <font>
      <sz val="20"/>
      <color theme="5" tint="-0.249977111117893"/>
      <name val="Arial"/>
      <family val="2"/>
    </font>
    <font>
      <b/>
      <sz val="11"/>
      <color theme="0" tint="-0.14999847407452621"/>
      <name val="Arial"/>
      <family val="2"/>
    </font>
    <font>
      <b/>
      <sz val="10"/>
      <color theme="1"/>
      <name val="Arial"/>
      <family val="2"/>
    </font>
    <font>
      <sz val="14"/>
      <color theme="0" tint="-4.9989318521683403E-2"/>
      <name val="Arial"/>
      <family val="2"/>
    </font>
    <font>
      <b/>
      <u/>
      <sz val="14"/>
      <color theme="10"/>
      <name val="Arial"/>
      <family val="2"/>
    </font>
    <font>
      <sz val="13"/>
      <color theme="1"/>
      <name val="Arial"/>
      <family val="2"/>
    </font>
    <font>
      <sz val="13"/>
      <name val="Arial"/>
      <family val="2"/>
    </font>
    <font>
      <b/>
      <sz val="13"/>
      <color theme="1"/>
      <name val="Arial"/>
      <family val="2"/>
    </font>
    <font>
      <b/>
      <sz val="13"/>
      <color rgb="FF000000"/>
      <name val="Arial"/>
      <family val="2"/>
    </font>
    <font>
      <b/>
      <i/>
      <u/>
      <sz val="13"/>
      <color rgb="FF0000FF"/>
      <name val="Arial"/>
      <family val="2"/>
    </font>
    <font>
      <sz val="10.5"/>
      <color rgb="FFFF0000"/>
      <name val="Arial"/>
      <family val="2"/>
    </font>
    <font>
      <u/>
      <sz val="10.5"/>
      <color theme="1"/>
      <name val="Arial"/>
      <family val="2"/>
    </font>
    <font>
      <sz val="10.5"/>
      <color theme="1"/>
      <name val="Arial"/>
      <family val="2"/>
    </font>
    <font>
      <b/>
      <sz val="10.5"/>
      <color rgb="FF008000"/>
      <name val="Arial"/>
      <family val="2"/>
    </font>
    <font>
      <b/>
      <i/>
      <sz val="10.5"/>
      <color theme="1"/>
      <name val="Arial"/>
      <family val="2"/>
    </font>
    <font>
      <b/>
      <sz val="10.5"/>
      <color rgb="FFFF0000"/>
      <name val="Arial"/>
      <family val="2"/>
    </font>
    <font>
      <sz val="10.5"/>
      <color rgb="FF000000"/>
      <name val="Arial"/>
      <family val="2"/>
    </font>
    <font>
      <i/>
      <sz val="10.5"/>
      <color theme="1"/>
      <name val="Arial"/>
      <family val="2"/>
    </font>
    <font>
      <u/>
      <sz val="14"/>
      <color theme="10"/>
      <name val="Arial"/>
      <family val="2"/>
    </font>
    <font>
      <b/>
      <u/>
      <sz val="13"/>
      <color theme="10"/>
      <name val="Arial"/>
      <family val="2"/>
    </font>
    <font>
      <b/>
      <i/>
      <sz val="13"/>
      <color rgb="FF0000FF"/>
      <name val="Arial"/>
      <family val="2"/>
    </font>
  </fonts>
  <fills count="2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BFBFBF"/>
        <bgColor rgb="FF000000"/>
      </patternFill>
    </fill>
    <fill>
      <patternFill patternType="solid">
        <fgColor theme="6"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2F2F2"/>
        <bgColor rgb="FF000000"/>
      </patternFill>
    </fill>
    <fill>
      <patternFill patternType="solid">
        <fgColor theme="0" tint="-0.3499862666707357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7" tint="0.79998168889431442"/>
        <bgColor rgb="FF000000"/>
      </patternFill>
    </fill>
    <fill>
      <patternFill patternType="solid">
        <fgColor theme="0" tint="-0.14999847407452621"/>
        <bgColor rgb="FF000000"/>
      </patternFill>
    </fill>
    <fill>
      <patternFill patternType="solid">
        <fgColor theme="6"/>
        <bgColor indexed="64"/>
      </patternFill>
    </fill>
    <fill>
      <patternFill patternType="solid">
        <fgColor rgb="FFB1A0C7"/>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9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0" fillId="0" borderId="0" applyNumberFormat="0" applyFill="0" applyBorder="0" applyAlignment="0" applyProtection="0"/>
    <xf numFmtId="0" fontId="1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436">
    <xf numFmtId="0" fontId="0" fillId="0" borderId="0" xfId="0"/>
    <xf numFmtId="0" fontId="1" fillId="10"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1" fillId="11" borderId="1"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xf>
    <xf numFmtId="0" fontId="11" fillId="0" borderId="0" xfId="380" applyFont="1" applyFill="1" applyAlignment="1" applyProtection="1">
      <alignment horizontal="left" vertical="top"/>
      <protection locked="0"/>
    </xf>
    <xf numFmtId="0" fontId="11" fillId="0" borderId="3" xfId="380" applyFont="1" applyFill="1" applyBorder="1" applyAlignment="1" applyProtection="1">
      <alignment horizontal="left" vertical="top"/>
      <protection locked="0"/>
    </xf>
    <xf numFmtId="0" fontId="11" fillId="0" borderId="4" xfId="380" applyFont="1" applyFill="1" applyBorder="1" applyAlignment="1" applyProtection="1">
      <alignment horizontal="left" vertical="top"/>
      <protection locked="0"/>
    </xf>
    <xf numFmtId="0" fontId="11" fillId="0" borderId="0" xfId="380" applyFont="1" applyFill="1" applyBorder="1" applyAlignment="1" applyProtection="1">
      <alignment horizontal="left" vertical="top"/>
      <protection locked="0"/>
    </xf>
    <xf numFmtId="0" fontId="11" fillId="0" borderId="6" xfId="380" applyFont="1" applyFill="1" applyBorder="1" applyAlignment="1" applyProtection="1">
      <alignment horizontal="left" vertical="top"/>
      <protection locked="0"/>
    </xf>
    <xf numFmtId="0" fontId="11" fillId="2" borderId="0" xfId="380" applyFont="1" applyFill="1" applyBorder="1" applyAlignment="1" applyProtection="1">
      <alignment horizontal="left" vertical="top"/>
      <protection locked="0"/>
    </xf>
    <xf numFmtId="0" fontId="11" fillId="0" borderId="0" xfId="0" applyFont="1" applyBorder="1" applyAlignment="1">
      <alignment horizontal="left" vertical="top"/>
    </xf>
    <xf numFmtId="0" fontId="0" fillId="0" borderId="0" xfId="0" applyAlignment="1">
      <alignment horizontal="left" vertical="top" wrapText="1"/>
    </xf>
    <xf numFmtId="0" fontId="0" fillId="8" borderId="0" xfId="0" applyFill="1" applyAlignment="1">
      <alignment horizontal="left" vertical="top"/>
    </xf>
    <xf numFmtId="0" fontId="0" fillId="2" borderId="0" xfId="0" applyFont="1" applyFill="1" applyAlignment="1">
      <alignment horizontal="left" vertical="top" wrapText="1"/>
    </xf>
    <xf numFmtId="0" fontId="0" fillId="0" borderId="0" xfId="0" applyFont="1" applyFill="1" applyBorder="1" applyAlignment="1">
      <alignment horizontal="left" vertical="top" wrapText="1"/>
    </xf>
    <xf numFmtId="0" fontId="0" fillId="0" borderId="0" xfId="0" applyAlignment="1" applyProtection="1">
      <alignment horizontal="left" vertical="top"/>
    </xf>
    <xf numFmtId="0" fontId="0" fillId="18" borderId="0" xfId="0" applyFont="1" applyFill="1" applyAlignment="1">
      <alignment horizontal="left" vertical="top" wrapText="1"/>
    </xf>
    <xf numFmtId="0" fontId="0" fillId="10" borderId="1" xfId="0" applyFont="1" applyFill="1" applyBorder="1" applyAlignment="1">
      <alignment horizontal="left" vertical="top" wrapText="1"/>
    </xf>
    <xf numFmtId="0" fontId="0" fillId="0" borderId="0" xfId="0" applyFont="1" applyFill="1" applyAlignment="1">
      <alignment horizontal="left" vertical="top" wrapText="1"/>
    </xf>
    <xf numFmtId="0" fontId="0" fillId="0" borderId="0" xfId="0" applyFill="1" applyAlignment="1">
      <alignment horizontal="left" vertical="top"/>
    </xf>
    <xf numFmtId="0" fontId="0" fillId="12" borderId="0" xfId="0" applyFont="1" applyFill="1" applyBorder="1" applyAlignment="1">
      <alignment horizontal="left" vertical="top" wrapText="1"/>
    </xf>
    <xf numFmtId="0" fontId="0" fillId="3" borderId="0" xfId="0" applyFont="1" applyFill="1" applyAlignment="1">
      <alignment horizontal="left" vertical="top" wrapText="1"/>
    </xf>
    <xf numFmtId="0" fontId="0" fillId="10" borderId="0" xfId="0" applyFont="1" applyFill="1" applyBorder="1" applyAlignment="1">
      <alignment horizontal="left" vertical="top" wrapText="1"/>
    </xf>
    <xf numFmtId="0" fontId="0" fillId="0" borderId="0" xfId="0" applyAlignment="1" applyProtection="1">
      <alignment horizontal="left" vertical="top"/>
      <protection locked="0"/>
    </xf>
    <xf numFmtId="0" fontId="0" fillId="4"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0" fillId="8" borderId="0" xfId="0" applyFont="1" applyFill="1" applyAlignment="1">
      <alignment horizontal="left" vertical="top" wrapText="1"/>
    </xf>
    <xf numFmtId="0" fontId="0" fillId="11" borderId="1" xfId="0" applyFont="1" applyFill="1" applyBorder="1" applyAlignment="1">
      <alignment horizontal="left" vertical="top" wrapText="1"/>
    </xf>
    <xf numFmtId="0" fontId="0" fillId="11" borderId="0" xfId="0" applyFont="1" applyFill="1" applyAlignment="1">
      <alignment horizontal="left" vertical="top" wrapText="1"/>
    </xf>
    <xf numFmtId="0" fontId="0" fillId="13" borderId="0" xfId="0" applyFont="1" applyFill="1" applyAlignment="1">
      <alignment horizontal="left" vertical="top" wrapText="1"/>
    </xf>
    <xf numFmtId="0" fontId="0" fillId="14" borderId="0" xfId="0" applyFont="1" applyFill="1" applyAlignment="1">
      <alignment horizontal="left" vertical="top" wrapText="1"/>
    </xf>
    <xf numFmtId="0" fontId="0" fillId="7" borderId="0" xfId="0" applyFont="1" applyFill="1" applyAlignment="1">
      <alignment horizontal="left" vertical="top" wrapText="1"/>
    </xf>
    <xf numFmtId="0" fontId="0" fillId="10" borderId="0" xfId="0" applyFont="1" applyFill="1" applyAlignment="1">
      <alignment horizontal="left" vertical="top" wrapText="1"/>
    </xf>
    <xf numFmtId="0" fontId="11" fillId="0" borderId="2" xfId="380" applyFont="1" applyFill="1" applyBorder="1" applyAlignment="1" applyProtection="1">
      <alignment horizontal="left" vertical="top"/>
      <protection locked="0"/>
    </xf>
    <xf numFmtId="0" fontId="11" fillId="0" borderId="5" xfId="380" applyFont="1" applyFill="1" applyBorder="1" applyAlignment="1" applyProtection="1">
      <alignment horizontal="left" vertical="top"/>
      <protection locked="0"/>
    </xf>
    <xf numFmtId="0" fontId="11" fillId="13" borderId="0" xfId="380" applyFont="1" applyFill="1" applyBorder="1" applyAlignment="1" applyProtection="1">
      <alignment horizontal="left" vertical="top"/>
      <protection locked="0"/>
    </xf>
    <xf numFmtId="0" fontId="12" fillId="0" borderId="0" xfId="0" applyFont="1" applyFill="1" applyBorder="1" applyAlignment="1">
      <alignment horizontal="left" vertical="top" wrapText="1"/>
    </xf>
    <xf numFmtId="0" fontId="11" fillId="0" borderId="0" xfId="0" applyFont="1" applyBorder="1" applyAlignment="1">
      <alignment horizontal="left" vertical="top" wrapText="1"/>
    </xf>
    <xf numFmtId="0" fontId="11" fillId="0" borderId="6" xfId="0" applyFont="1" applyBorder="1" applyAlignment="1">
      <alignment horizontal="left" vertical="top" wrapText="1"/>
    </xf>
    <xf numFmtId="0" fontId="11" fillId="1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15" borderId="0" xfId="0" applyFont="1" applyFill="1" applyBorder="1" applyAlignment="1">
      <alignment horizontal="left" vertical="top" wrapText="1"/>
    </xf>
    <xf numFmtId="0" fontId="11" fillId="6" borderId="0" xfId="0" applyFont="1" applyFill="1" applyBorder="1" applyAlignment="1">
      <alignment horizontal="left" vertical="top" wrapText="1"/>
    </xf>
    <xf numFmtId="0" fontId="11" fillId="9" borderId="0" xfId="0" applyFont="1" applyFill="1" applyBorder="1" applyAlignment="1">
      <alignment horizontal="left" vertical="top" wrapText="1"/>
    </xf>
    <xf numFmtId="0" fontId="13" fillId="0" borderId="0" xfId="0" applyFont="1" applyBorder="1" applyAlignment="1">
      <alignment horizontal="left" vertical="top" wrapText="1"/>
    </xf>
    <xf numFmtId="0" fontId="9" fillId="9" borderId="0"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14" borderId="1" xfId="0" applyFont="1" applyFill="1" applyBorder="1" applyAlignment="1">
      <alignment horizontal="left" vertical="top" wrapText="1"/>
    </xf>
    <xf numFmtId="0" fontId="11" fillId="14" borderId="0" xfId="0" applyFont="1" applyFill="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2" fontId="11" fillId="2" borderId="0" xfId="380" applyNumberFormat="1" applyFont="1" applyFill="1" applyBorder="1" applyAlignment="1" applyProtection="1">
      <alignment horizontal="left" vertical="top"/>
      <protection locked="0"/>
    </xf>
    <xf numFmtId="0" fontId="11" fillId="0" borderId="7" xfId="380" applyFont="1" applyFill="1" applyBorder="1" applyAlignment="1" applyProtection="1">
      <alignment horizontal="left" vertical="top"/>
      <protection locked="0"/>
    </xf>
    <xf numFmtId="0" fontId="11" fillId="0" borderId="8" xfId="380" applyFont="1" applyFill="1" applyBorder="1" applyAlignment="1" applyProtection="1">
      <alignment horizontal="left" vertical="top"/>
      <protection locked="0"/>
    </xf>
    <xf numFmtId="0" fontId="11" fillId="0" borderId="9" xfId="380" applyFont="1" applyFill="1" applyBorder="1" applyAlignment="1" applyProtection="1">
      <alignment horizontal="left" vertical="top"/>
      <protection locked="0"/>
    </xf>
    <xf numFmtId="0" fontId="0" fillId="13" borderId="1" xfId="0" applyFont="1" applyFill="1" applyBorder="1" applyAlignment="1">
      <alignment horizontal="left" vertical="top" wrapText="1"/>
    </xf>
    <xf numFmtId="0" fontId="0" fillId="13" borderId="14" xfId="0" applyFont="1" applyFill="1" applyBorder="1" applyAlignment="1">
      <alignment horizontal="left" vertical="top" wrapText="1"/>
    </xf>
    <xf numFmtId="0" fontId="6" fillId="0" borderId="0" xfId="0" applyFont="1" applyFill="1" applyAlignment="1">
      <alignment horizontal="left" vertical="top" wrapText="1"/>
    </xf>
    <xf numFmtId="0" fontId="0" fillId="15" borderId="0" xfId="0" applyFont="1" applyFill="1" applyAlignment="1">
      <alignment horizontal="left" vertical="top" wrapText="1"/>
    </xf>
    <xf numFmtId="0" fontId="0" fillId="6" borderId="0" xfId="0" applyFont="1" applyFill="1" applyAlignment="1">
      <alignment horizontal="left" vertical="top" wrapText="1"/>
    </xf>
    <xf numFmtId="0" fontId="0" fillId="9" borderId="0" xfId="0" applyFont="1" applyFill="1" applyAlignment="1">
      <alignment horizontal="left" vertical="top" wrapText="1"/>
    </xf>
    <xf numFmtId="0" fontId="5" fillId="9" borderId="0" xfId="0" applyFont="1" applyFill="1" applyAlignment="1">
      <alignment horizontal="left" vertical="top" wrapText="1"/>
    </xf>
    <xf numFmtId="0" fontId="0" fillId="12" borderId="0" xfId="0" applyFill="1" applyAlignment="1">
      <alignment horizontal="left" vertical="top"/>
    </xf>
    <xf numFmtId="0" fontId="0" fillId="11" borderId="14" xfId="0" applyFont="1" applyFill="1" applyBorder="1" applyAlignment="1">
      <alignment horizontal="left" vertical="top" wrapText="1"/>
    </xf>
    <xf numFmtId="0" fontId="0" fillId="12" borderId="0" xfId="0" applyFill="1" applyAlignment="1">
      <alignment horizontal="left" vertical="top" wrapText="1"/>
    </xf>
    <xf numFmtId="0" fontId="0" fillId="14" borderId="1" xfId="0" applyFont="1" applyFill="1" applyBorder="1" applyAlignment="1">
      <alignment horizontal="left" vertical="top" wrapText="1"/>
    </xf>
    <xf numFmtId="0" fontId="1" fillId="0" borderId="13" xfId="0" applyFont="1" applyFill="1" applyBorder="1" applyAlignment="1" applyProtection="1">
      <alignment horizontal="left" vertical="top" wrapText="1"/>
    </xf>
    <xf numFmtId="0" fontId="0" fillId="6" borderId="0" xfId="0" applyFill="1" applyAlignment="1">
      <alignment horizontal="left" vertical="top"/>
    </xf>
    <xf numFmtId="0" fontId="0" fillId="10" borderId="0" xfId="0" applyFill="1" applyAlignment="1">
      <alignment horizontal="left" vertical="top"/>
    </xf>
    <xf numFmtId="0" fontId="5" fillId="0" borderId="0" xfId="0" applyFont="1" applyAlignment="1">
      <alignment horizontal="left" vertical="top" wrapText="1"/>
    </xf>
    <xf numFmtId="0" fontId="1" fillId="0" borderId="14" xfId="0" applyFont="1" applyFill="1" applyBorder="1" applyAlignment="1" applyProtection="1">
      <alignment horizontal="left" vertical="top" wrapText="1"/>
    </xf>
    <xf numFmtId="0" fontId="1" fillId="0" borderId="15" xfId="0" applyFont="1" applyFill="1" applyBorder="1" applyAlignment="1" applyProtection="1">
      <alignment horizontal="left" vertical="top" wrapText="1"/>
    </xf>
    <xf numFmtId="0" fontId="11" fillId="8" borderId="0" xfId="380" applyFont="1" applyFill="1" applyBorder="1" applyAlignment="1" applyProtection="1">
      <alignment horizontal="left" vertical="top"/>
      <protection locked="0"/>
    </xf>
    <xf numFmtId="0" fontId="11" fillId="8" borderId="6" xfId="380" applyFont="1" applyFill="1" applyBorder="1" applyAlignment="1" applyProtection="1">
      <alignment horizontal="left" vertical="top"/>
      <protection locked="0"/>
    </xf>
    <xf numFmtId="0" fontId="11" fillId="21" borderId="0" xfId="380" applyFont="1" applyFill="1" applyBorder="1" applyAlignment="1" applyProtection="1">
      <alignment horizontal="left" vertical="top"/>
      <protection locked="0"/>
    </xf>
    <xf numFmtId="0" fontId="9" fillId="0" borderId="0" xfId="0" applyFont="1" applyFill="1" applyBorder="1" applyAlignment="1">
      <alignment horizontal="left" vertical="top" wrapText="1"/>
    </xf>
    <xf numFmtId="0" fontId="11" fillId="20" borderId="0" xfId="0" applyFont="1" applyFill="1" applyBorder="1" applyAlignment="1">
      <alignment horizontal="left" vertical="top" wrapText="1"/>
    </xf>
    <xf numFmtId="0" fontId="11" fillId="19" borderId="0" xfId="0" applyFont="1" applyFill="1" applyBorder="1" applyAlignment="1">
      <alignment horizontal="left" vertical="top" wrapText="1"/>
    </xf>
    <xf numFmtId="0" fontId="0" fillId="20" borderId="0" xfId="0" applyFont="1" applyFill="1" applyAlignment="1">
      <alignment horizontal="left" vertical="top" wrapText="1"/>
    </xf>
    <xf numFmtId="0" fontId="0" fillId="20" borderId="0" xfId="0" applyFill="1" applyAlignment="1">
      <alignment horizontal="left" vertical="top"/>
    </xf>
    <xf numFmtId="0" fontId="0" fillId="6" borderId="0" xfId="0" applyFill="1" applyAlignment="1">
      <alignment horizontal="left" vertical="top" wrapText="1"/>
    </xf>
    <xf numFmtId="0" fontId="0" fillId="21" borderId="0" xfId="0" applyFont="1" applyFill="1" applyAlignment="1">
      <alignment horizontal="left" vertical="top" wrapText="1"/>
    </xf>
    <xf numFmtId="0" fontId="0" fillId="21" borderId="0" xfId="0" applyFill="1" applyAlignment="1">
      <alignment horizontal="left" vertical="top"/>
    </xf>
    <xf numFmtId="0" fontId="0" fillId="21" borderId="0" xfId="0" applyFill="1" applyAlignment="1">
      <alignment horizontal="left" vertical="top" wrapText="1"/>
    </xf>
    <xf numFmtId="0" fontId="0" fillId="20" borderId="0" xfId="0" applyFill="1" applyAlignment="1">
      <alignment horizontal="left" vertical="top" wrapText="1"/>
    </xf>
    <xf numFmtId="0" fontId="0" fillId="0" borderId="0" xfId="0" applyFont="1" applyAlignment="1">
      <alignment horizontal="left" vertical="top"/>
    </xf>
    <xf numFmtId="0" fontId="0" fillId="8" borderId="0" xfId="0" applyFill="1" applyAlignment="1">
      <alignment horizontal="left" vertical="top" wrapText="1"/>
    </xf>
    <xf numFmtId="0" fontId="0" fillId="23" borderId="0" xfId="0" applyFont="1" applyFill="1" applyAlignment="1">
      <alignment horizontal="left" vertical="top" wrapText="1"/>
    </xf>
    <xf numFmtId="0" fontId="0" fillId="23" borderId="0" xfId="0" applyFill="1" applyAlignment="1">
      <alignment horizontal="left" vertical="top"/>
    </xf>
    <xf numFmtId="0" fontId="0" fillId="23" borderId="0" xfId="0" applyFill="1" applyAlignment="1">
      <alignment horizontal="left" vertical="top" wrapText="1"/>
    </xf>
    <xf numFmtId="0" fontId="5" fillId="0" borderId="0" xfId="0" applyFont="1" applyFill="1" applyBorder="1" applyAlignment="1" applyProtection="1">
      <alignment horizontal="left" vertical="top" wrapText="1"/>
    </xf>
    <xf numFmtId="0" fontId="0" fillId="26" borderId="0" xfId="0" applyFill="1" applyAlignment="1">
      <alignment horizontal="left" vertical="top" wrapText="1"/>
    </xf>
    <xf numFmtId="0" fontId="0" fillId="26" borderId="0" xfId="0" applyFill="1" applyAlignment="1">
      <alignment horizontal="left" vertical="top"/>
    </xf>
    <xf numFmtId="0" fontId="0" fillId="26" borderId="0" xfId="0" applyFont="1" applyFill="1" applyAlignment="1">
      <alignment horizontal="left" vertical="top" wrapText="1"/>
    </xf>
    <xf numFmtId="0" fontId="1" fillId="27" borderId="1" xfId="0" applyFont="1" applyFill="1" applyBorder="1" applyAlignment="1">
      <alignment horizontal="left" vertical="top" wrapText="1"/>
    </xf>
    <xf numFmtId="0" fontId="11" fillId="4" borderId="0" xfId="380" applyFont="1" applyFill="1" applyAlignment="1" applyProtection="1">
      <alignment vertical="top"/>
      <protection hidden="1"/>
    </xf>
    <xf numFmtId="0" fontId="11" fillId="0" borderId="0" xfId="380" applyFont="1" applyFill="1" applyAlignment="1" applyProtection="1">
      <alignment vertical="top"/>
      <protection hidden="1"/>
    </xf>
    <xf numFmtId="0" fontId="11" fillId="0" borderId="0" xfId="380" applyFont="1" applyFill="1" applyBorder="1" applyAlignment="1" applyProtection="1">
      <alignment horizontal="right" vertical="center"/>
      <protection hidden="1"/>
    </xf>
    <xf numFmtId="0" fontId="11" fillId="22" borderId="0" xfId="380" applyFont="1" applyFill="1" applyAlignment="1" applyProtection="1">
      <alignment vertical="top"/>
      <protection hidden="1"/>
    </xf>
    <xf numFmtId="0" fontId="11" fillId="3" borderId="0" xfId="380" applyFont="1" applyFill="1" applyBorder="1" applyAlignment="1" applyProtection="1">
      <alignment horizontal="left" vertical="center"/>
      <protection hidden="1"/>
    </xf>
    <xf numFmtId="0" fontId="11" fillId="0" borderId="0" xfId="380" applyFont="1" applyFill="1" applyAlignment="1" applyProtection="1">
      <alignment vertical="center"/>
      <protection hidden="1"/>
    </xf>
    <xf numFmtId="0" fontId="11" fillId="0" borderId="0" xfId="380" applyFont="1" applyFill="1" applyBorder="1" applyAlignment="1" applyProtection="1">
      <alignment vertical="center"/>
      <protection hidden="1"/>
    </xf>
    <xf numFmtId="0" fontId="11" fillId="0" borderId="0" xfId="380" applyFont="1" applyFill="1" applyBorder="1" applyAlignment="1" applyProtection="1">
      <alignment vertical="top"/>
      <protection hidden="1"/>
    </xf>
    <xf numFmtId="0" fontId="11" fillId="0" borderId="0" xfId="380" applyFont="1" applyFill="1" applyAlignment="1" applyProtection="1">
      <alignment horizontal="right" vertical="top"/>
      <protection hidden="1"/>
    </xf>
    <xf numFmtId="0" fontId="11" fillId="13" borderId="0" xfId="380" applyFont="1" applyFill="1" applyAlignment="1" applyProtection="1">
      <alignment vertical="top"/>
      <protection hidden="1"/>
    </xf>
    <xf numFmtId="0" fontId="11" fillId="0" borderId="0" xfId="380" applyFont="1" applyFill="1" applyAlignment="1" applyProtection="1">
      <alignment vertical="top" wrapText="1"/>
      <protection hidden="1"/>
    </xf>
    <xf numFmtId="0" fontId="11" fillId="22" borderId="0" xfId="380" applyFont="1" applyFill="1" applyAlignment="1" applyProtection="1">
      <alignment vertical="top" wrapText="1"/>
      <protection hidden="1"/>
    </xf>
    <xf numFmtId="0" fontId="11" fillId="0" borderId="0" xfId="380" applyFont="1" applyFill="1" applyBorder="1" applyAlignment="1" applyProtection="1">
      <alignment horizontal="left" vertical="center"/>
      <protection hidden="1"/>
    </xf>
    <xf numFmtId="0" fontId="11" fillId="8" borderId="0" xfId="380" applyFont="1" applyFill="1" applyAlignment="1" applyProtection="1">
      <alignment vertical="top"/>
      <protection hidden="1"/>
    </xf>
    <xf numFmtId="0" fontId="11" fillId="4" borderId="1" xfId="380" applyFont="1" applyFill="1" applyBorder="1" applyAlignment="1" applyProtection="1">
      <alignment vertical="top"/>
      <protection hidden="1"/>
    </xf>
    <xf numFmtId="0" fontId="11" fillId="13" borderId="2" xfId="380" applyFont="1" applyFill="1" applyBorder="1" applyAlignment="1" applyProtection="1">
      <alignment vertical="top"/>
      <protection hidden="1"/>
    </xf>
    <xf numFmtId="0" fontId="11" fillId="13" borderId="3" xfId="380" applyFont="1" applyFill="1" applyBorder="1" applyAlignment="1" applyProtection="1">
      <alignment vertical="top"/>
      <protection hidden="1"/>
    </xf>
    <xf numFmtId="0" fontId="11" fillId="13" borderId="4" xfId="380" applyFont="1" applyFill="1" applyBorder="1" applyAlignment="1" applyProtection="1">
      <alignment vertical="top"/>
      <protection hidden="1"/>
    </xf>
    <xf numFmtId="0" fontId="8" fillId="25" borderId="3" xfId="0" applyFont="1" applyFill="1" applyBorder="1" applyAlignment="1" applyProtection="1">
      <alignment vertical="top"/>
      <protection hidden="1"/>
    </xf>
    <xf numFmtId="0" fontId="8" fillId="25" borderId="4" xfId="0" applyFont="1" applyFill="1" applyBorder="1" applyAlignment="1" applyProtection="1">
      <alignment vertical="top"/>
      <protection hidden="1"/>
    </xf>
    <xf numFmtId="0" fontId="11" fillId="13" borderId="5" xfId="380" applyFont="1" applyFill="1" applyBorder="1" applyAlignment="1" applyProtection="1">
      <alignment vertical="top"/>
      <protection hidden="1"/>
    </xf>
    <xf numFmtId="0" fontId="11" fillId="13" borderId="0" xfId="380" applyFont="1" applyFill="1" applyBorder="1" applyAlignment="1" applyProtection="1">
      <alignment vertical="top"/>
      <protection hidden="1"/>
    </xf>
    <xf numFmtId="0" fontId="11" fillId="13" borderId="6" xfId="380" applyFont="1" applyFill="1" applyBorder="1" applyAlignment="1" applyProtection="1">
      <alignment vertical="top"/>
      <protection hidden="1"/>
    </xf>
    <xf numFmtId="0" fontId="8" fillId="25" borderId="0" xfId="0" applyFont="1" applyFill="1" applyAlignment="1" applyProtection="1">
      <alignment vertical="top"/>
      <protection hidden="1"/>
    </xf>
    <xf numFmtId="0" fontId="8" fillId="25" borderId="6" xfId="0" applyFont="1" applyFill="1" applyBorder="1" applyAlignment="1" applyProtection="1">
      <alignment vertical="top"/>
      <protection hidden="1"/>
    </xf>
    <xf numFmtId="0" fontId="11" fillId="22" borderId="0" xfId="380" applyFont="1" applyFill="1" applyAlignment="1" applyProtection="1">
      <alignment horizontal="center" vertical="top"/>
      <protection hidden="1"/>
    </xf>
    <xf numFmtId="0" fontId="11" fillId="23" borderId="0" xfId="380" applyFont="1" applyFill="1" applyBorder="1" applyAlignment="1" applyProtection="1">
      <alignment horizontal="right" vertical="center"/>
      <protection hidden="1"/>
    </xf>
    <xf numFmtId="0" fontId="11" fillId="0" borderId="2" xfId="380" applyFont="1" applyFill="1" applyBorder="1" applyAlignment="1" applyProtection="1">
      <alignment vertical="top"/>
      <protection hidden="1"/>
    </xf>
    <xf numFmtId="0" fontId="11" fillId="0" borderId="0" xfId="380" applyFont="1" applyFill="1" applyAlignment="1" applyProtection="1">
      <alignment horizontal="left" vertical="top"/>
      <protection hidden="1"/>
    </xf>
    <xf numFmtId="0" fontId="11" fillId="13" borderId="0" xfId="380" applyFont="1" applyFill="1" applyAlignment="1" applyProtection="1">
      <protection hidden="1"/>
    </xf>
    <xf numFmtId="0" fontId="11" fillId="0" borderId="8" xfId="380" applyFont="1" applyFill="1" applyBorder="1" applyAlignment="1" applyProtection="1">
      <alignment vertical="top"/>
      <protection hidden="1"/>
    </xf>
    <xf numFmtId="0" fontId="11" fillId="0" borderId="8" xfId="380" applyFont="1" applyFill="1" applyBorder="1" applyAlignment="1" applyProtection="1">
      <alignment horizontal="right" vertical="center"/>
      <protection hidden="1"/>
    </xf>
    <xf numFmtId="0" fontId="11" fillId="22" borderId="8" xfId="380" applyFont="1" applyFill="1" applyBorder="1" applyAlignment="1" applyProtection="1">
      <alignment vertical="top"/>
      <protection hidden="1"/>
    </xf>
    <xf numFmtId="0" fontId="11" fillId="0" borderId="0" xfId="380" applyFont="1" applyFill="1" applyBorder="1" applyAlignment="1" applyProtection="1">
      <alignment vertical="top" wrapText="1"/>
      <protection hidden="1"/>
    </xf>
    <xf numFmtId="0" fontId="15" fillId="0" borderId="0" xfId="0" applyFont="1" applyAlignment="1">
      <alignment horizontal="center" vertical="center" wrapText="1"/>
    </xf>
    <xf numFmtId="0" fontId="0" fillId="0" borderId="0" xfId="0" applyFont="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0" fillId="16" borderId="0" xfId="0" applyFont="1" applyFill="1" applyBorder="1" applyAlignment="1">
      <alignment horizontal="center" vertical="center" wrapText="1"/>
    </xf>
    <xf numFmtId="0" fontId="0" fillId="16" borderId="0" xfId="0" applyFont="1" applyFill="1" applyAlignment="1">
      <alignment horizontal="center" vertical="center" wrapText="1"/>
    </xf>
    <xf numFmtId="0" fontId="0" fillId="16" borderId="0" xfId="0" applyFont="1" applyFill="1" applyAlignment="1">
      <alignment horizontal="center" vertical="center"/>
    </xf>
    <xf numFmtId="0" fontId="0" fillId="16" borderId="0" xfId="0" applyFont="1" applyFill="1" applyAlignment="1">
      <alignment horizontal="left" vertical="center" wrapText="1"/>
    </xf>
    <xf numFmtId="0" fontId="0" fillId="16" borderId="0" xfId="0" applyFont="1" applyFill="1" applyBorder="1" applyAlignment="1">
      <alignment horizontal="left" vertical="center" wrapText="1"/>
    </xf>
    <xf numFmtId="0" fontId="1" fillId="16" borderId="0" xfId="0" applyFont="1" applyFill="1" applyBorder="1" applyAlignment="1">
      <alignment vertical="center"/>
    </xf>
    <xf numFmtId="0" fontId="1" fillId="16" borderId="0" xfId="0" applyFont="1" applyFill="1" applyAlignment="1">
      <alignment vertical="center"/>
    </xf>
    <xf numFmtId="0" fontId="0" fillId="16" borderId="0" xfId="0" applyFont="1" applyFill="1" applyBorder="1" applyAlignment="1">
      <alignment vertical="center"/>
    </xf>
    <xf numFmtId="0" fontId="0" fillId="16" borderId="0" xfId="0" applyFont="1" applyFill="1" applyAlignment="1">
      <alignment vertical="center"/>
    </xf>
    <xf numFmtId="0" fontId="1" fillId="16" borderId="0" xfId="0" applyFont="1" applyFill="1" applyBorder="1" applyAlignment="1">
      <alignment horizontal="left" vertical="center"/>
    </xf>
    <xf numFmtId="0" fontId="1" fillId="16" borderId="0" xfId="0" applyFont="1" applyFill="1" applyAlignment="1">
      <alignment horizontal="left" vertical="center"/>
    </xf>
    <xf numFmtId="0" fontId="0" fillId="16" borderId="0" xfId="0" applyFont="1" applyFill="1" applyBorder="1" applyAlignment="1">
      <alignment horizontal="left" vertical="center"/>
    </xf>
    <xf numFmtId="0" fontId="0" fillId="16" borderId="0" xfId="0" applyFont="1" applyFill="1" applyAlignment="1">
      <alignment horizontal="left" vertical="center"/>
    </xf>
    <xf numFmtId="0" fontId="3" fillId="16" borderId="0" xfId="379" applyFont="1" applyFill="1" applyBorder="1" applyAlignment="1">
      <alignment horizontal="left" vertical="center"/>
    </xf>
    <xf numFmtId="0" fontId="3" fillId="16" borderId="0" xfId="379" applyFont="1" applyFill="1" applyAlignment="1">
      <alignment horizontal="left" vertical="center"/>
    </xf>
    <xf numFmtId="0" fontId="0" fillId="16" borderId="0" xfId="0" applyFont="1" applyFill="1" applyBorder="1" applyAlignment="1">
      <alignment horizontal="center" vertical="center"/>
    </xf>
    <xf numFmtId="0" fontId="19" fillId="16" borderId="0" xfId="0" applyFont="1" applyFill="1" applyBorder="1" applyAlignment="1">
      <alignment vertical="center" wrapText="1"/>
    </xf>
    <xf numFmtId="0" fontId="1" fillId="16" borderId="0" xfId="0" applyFont="1" applyFill="1" applyBorder="1" applyAlignment="1">
      <alignment vertical="center" wrapText="1"/>
    </xf>
    <xf numFmtId="0" fontId="15" fillId="16" borderId="0" xfId="0" applyFont="1" applyFill="1" applyBorder="1" applyAlignment="1">
      <alignment horizontal="center" vertical="center" wrapText="1"/>
    </xf>
    <xf numFmtId="0" fontId="15" fillId="16" borderId="0" xfId="0" applyFont="1" applyFill="1" applyBorder="1" applyAlignment="1">
      <alignment horizontal="left" vertical="center" wrapText="1"/>
    </xf>
    <xf numFmtId="0" fontId="19" fillId="16" borderId="0" xfId="0" applyFont="1" applyFill="1" applyAlignment="1">
      <alignment vertical="center" wrapText="1"/>
    </xf>
    <xf numFmtId="0" fontId="18" fillId="0" borderId="13" xfId="0" applyFont="1" applyBorder="1" applyAlignment="1">
      <alignment horizontal="center" vertical="center" wrapText="1"/>
    </xf>
    <xf numFmtId="0" fontId="24" fillId="4" borderId="0" xfId="380" applyFont="1" applyFill="1" applyAlignment="1" applyProtection="1">
      <alignment vertical="top"/>
      <protection hidden="1"/>
    </xf>
    <xf numFmtId="0" fontId="26" fillId="4" borderId="0" xfId="379" applyFont="1" applyFill="1" applyAlignment="1" applyProtection="1">
      <alignment vertical="top"/>
      <protection hidden="1"/>
    </xf>
    <xf numFmtId="0" fontId="24" fillId="4" borderId="0" xfId="380" applyFont="1" applyFill="1" applyBorder="1" applyAlignment="1" applyProtection="1">
      <alignment horizontal="right" vertical="center"/>
      <protection hidden="1"/>
    </xf>
    <xf numFmtId="0" fontId="26" fillId="4" borderId="0" xfId="379" applyFont="1" applyFill="1" applyBorder="1" applyAlignment="1" applyProtection="1">
      <alignment horizontal="center" vertical="center" wrapText="1"/>
      <protection hidden="1"/>
    </xf>
    <xf numFmtId="0" fontId="24" fillId="4" borderId="0" xfId="379" applyFont="1" applyFill="1" applyAlignment="1" applyProtection="1">
      <alignment vertical="top"/>
      <protection hidden="1"/>
    </xf>
    <xf numFmtId="0" fontId="26" fillId="4" borderId="0" xfId="379" applyFont="1" applyFill="1" applyAlignment="1" applyProtection="1">
      <alignment horizontal="left" vertical="top"/>
      <protection hidden="1"/>
    </xf>
    <xf numFmtId="0" fontId="25" fillId="16" borderId="8" xfId="0" applyFont="1" applyFill="1" applyBorder="1" applyAlignment="1" applyProtection="1">
      <alignment horizontal="center" vertical="top"/>
      <protection hidden="1"/>
    </xf>
    <xf numFmtId="0" fontId="25" fillId="16" borderId="0" xfId="0" applyFont="1" applyFill="1" applyAlignment="1" applyProtection="1">
      <alignment horizontal="center" vertical="top"/>
      <protection hidden="1"/>
    </xf>
    <xf numFmtId="0" fontId="29" fillId="16" borderId="0" xfId="380" applyFont="1" applyFill="1" applyBorder="1" applyAlignment="1" applyProtection="1">
      <alignment vertical="center"/>
      <protection hidden="1"/>
    </xf>
    <xf numFmtId="0" fontId="28" fillId="16" borderId="0" xfId="380" applyFont="1" applyFill="1" applyBorder="1" applyAlignment="1" applyProtection="1">
      <alignment vertical="top"/>
      <protection hidden="1"/>
    </xf>
    <xf numFmtId="0" fontId="21" fillId="16" borderId="0" xfId="380" applyFont="1" applyFill="1" applyAlignment="1" applyProtection="1">
      <alignment horizontal="center" vertical="top" wrapText="1"/>
      <protection hidden="1"/>
    </xf>
    <xf numFmtId="0" fontId="29" fillId="16" borderId="8" xfId="380" applyFont="1" applyFill="1" applyBorder="1" applyAlignment="1" applyProtection="1">
      <alignment vertical="center"/>
      <protection hidden="1"/>
    </xf>
    <xf numFmtId="0" fontId="21" fillId="16" borderId="8" xfId="380" applyFont="1" applyFill="1" applyBorder="1" applyAlignment="1" applyProtection="1">
      <alignment vertical="top"/>
      <protection hidden="1"/>
    </xf>
    <xf numFmtId="0" fontId="24" fillId="16" borderId="0" xfId="380" applyFont="1" applyFill="1" applyAlignment="1" applyProtection="1">
      <alignment horizontal="left" vertical="top"/>
      <protection hidden="1"/>
    </xf>
    <xf numFmtId="0" fontId="22" fillId="13" borderId="8" xfId="380" applyFont="1" applyFill="1" applyBorder="1" applyAlignment="1" applyProtection="1">
      <alignment horizontal="center" vertical="center"/>
      <protection hidden="1"/>
    </xf>
    <xf numFmtId="0" fontId="22" fillId="13" borderId="9" xfId="380" applyFont="1" applyFill="1" applyBorder="1" applyAlignment="1" applyProtection="1">
      <alignment horizontal="center" vertical="center"/>
      <protection hidden="1"/>
    </xf>
    <xf numFmtId="0" fontId="24" fillId="16" borderId="5" xfId="380" applyFont="1" applyFill="1" applyBorder="1" applyAlignment="1" applyProtection="1">
      <alignment horizontal="left" vertical="top"/>
      <protection hidden="1"/>
    </xf>
    <xf numFmtId="0" fontId="24" fillId="0" borderId="0" xfId="380" applyFont="1" applyBorder="1" applyAlignment="1" applyProtection="1">
      <alignment horizontal="center" vertical="center"/>
      <protection locked="0"/>
    </xf>
    <xf numFmtId="0" fontId="24" fillId="16" borderId="0" xfId="380" applyFont="1" applyFill="1" applyAlignment="1" applyProtection="1">
      <alignment horizontal="left" vertical="top" wrapText="1"/>
      <protection hidden="1"/>
    </xf>
    <xf numFmtId="0" fontId="24" fillId="16" borderId="0" xfId="380" applyFont="1" applyFill="1" applyAlignment="1" applyProtection="1">
      <alignment vertical="top"/>
      <protection hidden="1"/>
    </xf>
    <xf numFmtId="0" fontId="24" fillId="16" borderId="8" xfId="380" applyFont="1" applyFill="1" applyBorder="1" applyAlignment="1" applyProtection="1">
      <alignment vertical="top"/>
      <protection hidden="1"/>
    </xf>
    <xf numFmtId="0" fontId="28" fillId="16" borderId="8" xfId="380" applyFont="1" applyFill="1" applyBorder="1" applyAlignment="1" applyProtection="1">
      <alignment horizontal="center" vertical="top"/>
      <protection hidden="1"/>
    </xf>
    <xf numFmtId="0" fontId="28" fillId="16" borderId="0" xfId="380" applyFont="1" applyFill="1" applyBorder="1" applyAlignment="1" applyProtection="1">
      <alignment horizontal="center" vertical="top"/>
      <protection hidden="1"/>
    </xf>
    <xf numFmtId="0" fontId="28" fillId="16" borderId="0" xfId="380" applyFont="1" applyFill="1" applyAlignment="1" applyProtection="1">
      <alignment horizontal="left" vertical="top"/>
      <protection hidden="1"/>
    </xf>
    <xf numFmtId="0" fontId="22" fillId="13" borderId="2" xfId="380" applyFont="1" applyFill="1" applyBorder="1" applyAlignment="1" applyProtection="1">
      <alignment vertical="center"/>
      <protection hidden="1"/>
    </xf>
    <xf numFmtId="0" fontId="34" fillId="13" borderId="4" xfId="380" applyFont="1" applyFill="1" applyBorder="1" applyAlignment="1" applyProtection="1">
      <alignment vertical="center"/>
      <protection hidden="1"/>
    </xf>
    <xf numFmtId="0" fontId="24" fillId="16" borderId="0" xfId="380" applyFont="1" applyFill="1" applyBorder="1" applyAlignment="1" applyProtection="1">
      <alignment vertical="top"/>
      <protection hidden="1"/>
    </xf>
    <xf numFmtId="0" fontId="22" fillId="13" borderId="7" xfId="380" applyFont="1" applyFill="1" applyBorder="1" applyAlignment="1" applyProtection="1">
      <alignment vertical="center"/>
      <protection hidden="1"/>
    </xf>
    <xf numFmtId="0" fontId="22" fillId="13" borderId="9" xfId="380" applyFont="1" applyFill="1" applyBorder="1" applyAlignment="1" applyProtection="1">
      <alignment vertical="center"/>
      <protection hidden="1"/>
    </xf>
    <xf numFmtId="0" fontId="24" fillId="0" borderId="0" xfId="380" applyFont="1" applyFill="1" applyBorder="1" applyAlignment="1" applyProtection="1">
      <alignment horizontal="center" vertical="top"/>
      <protection locked="0"/>
    </xf>
    <xf numFmtId="0" fontId="24" fillId="16" borderId="5" xfId="380" applyFont="1" applyFill="1" applyBorder="1" applyAlignment="1" applyProtection="1">
      <alignment vertical="top"/>
      <protection hidden="1"/>
    </xf>
    <xf numFmtId="0" fontId="24" fillId="16" borderId="0" xfId="380" applyFont="1" applyFill="1" applyBorder="1" applyAlignment="1" applyProtection="1">
      <alignment horizontal="left" vertical="top"/>
      <protection hidden="1"/>
    </xf>
    <xf numFmtId="3" fontId="22" fillId="7" borderId="1" xfId="380" applyNumberFormat="1" applyFont="1" applyFill="1" applyBorder="1" applyAlignment="1" applyProtection="1">
      <alignment horizontal="center" vertical="center"/>
      <protection hidden="1"/>
    </xf>
    <xf numFmtId="0" fontId="31" fillId="17" borderId="0" xfId="0" applyFont="1" applyFill="1" applyAlignment="1" applyProtection="1">
      <alignment vertical="top"/>
      <protection hidden="1"/>
    </xf>
    <xf numFmtId="0" fontId="21" fillId="16" borderId="0" xfId="380" applyFont="1" applyFill="1" applyAlignment="1" applyProtection="1">
      <alignment vertical="top" wrapText="1"/>
      <protection hidden="1"/>
    </xf>
    <xf numFmtId="0" fontId="24" fillId="16" borderId="8" xfId="380" applyFont="1" applyFill="1" applyBorder="1" applyAlignment="1" applyProtection="1">
      <alignment horizontal="left" vertical="top"/>
      <protection hidden="1"/>
    </xf>
    <xf numFmtId="0" fontId="31" fillId="17" borderId="8" xfId="0" applyFont="1" applyFill="1" applyBorder="1" applyAlignment="1" applyProtection="1">
      <alignment vertical="top"/>
      <protection hidden="1"/>
    </xf>
    <xf numFmtId="0" fontId="24" fillId="4" borderId="0" xfId="380" applyFont="1" applyFill="1" applyBorder="1" applyAlignment="1" applyProtection="1">
      <alignment horizontal="center" vertical="center" wrapText="1"/>
      <protection hidden="1"/>
    </xf>
    <xf numFmtId="0" fontId="24" fillId="16" borderId="0" xfId="380" applyFont="1" applyFill="1" applyAlignment="1" applyProtection="1">
      <alignment vertical="top" wrapText="1"/>
      <protection hidden="1"/>
    </xf>
    <xf numFmtId="0" fontId="36" fillId="16" borderId="8" xfId="380" applyFont="1" applyFill="1" applyBorder="1" applyAlignment="1" applyProtection="1">
      <alignment horizontal="center" vertical="center"/>
      <protection hidden="1"/>
    </xf>
    <xf numFmtId="0" fontId="35" fillId="16" borderId="3" xfId="380" applyFont="1" applyFill="1" applyBorder="1" applyAlignment="1" applyProtection="1">
      <alignment horizontal="center" vertical="center" wrapText="1"/>
      <protection hidden="1"/>
    </xf>
    <xf numFmtId="0" fontId="35" fillId="16" borderId="4" xfId="380" applyFont="1" applyFill="1" applyBorder="1" applyAlignment="1" applyProtection="1">
      <alignment horizontal="center" vertical="center" wrapText="1"/>
      <protection hidden="1"/>
    </xf>
    <xf numFmtId="0" fontId="35" fillId="16" borderId="8" xfId="380" applyFont="1" applyFill="1" applyBorder="1" applyAlignment="1" applyProtection="1">
      <alignment horizontal="center" vertical="center" wrapText="1"/>
      <protection hidden="1"/>
    </xf>
    <xf numFmtId="0" fontId="35" fillId="16" borderId="9" xfId="380" applyFont="1" applyFill="1" applyBorder="1" applyAlignment="1" applyProtection="1">
      <alignment horizontal="center" vertical="center" wrapText="1"/>
      <protection hidden="1"/>
    </xf>
    <xf numFmtId="0" fontId="35" fillId="0" borderId="11" xfId="380" applyFont="1" applyBorder="1" applyAlignment="1" applyProtection="1">
      <alignment horizontal="center" vertical="center" wrapText="1"/>
      <protection locked="0"/>
    </xf>
    <xf numFmtId="0" fontId="36" fillId="16" borderId="0" xfId="380" applyFont="1" applyFill="1" applyAlignment="1" applyProtection="1">
      <alignment horizontal="center" vertical="center"/>
      <protection hidden="1"/>
    </xf>
    <xf numFmtId="0" fontId="28" fillId="16" borderId="0" xfId="380" applyFont="1" applyFill="1" applyAlignment="1" applyProtection="1">
      <alignment vertical="top"/>
      <protection hidden="1"/>
    </xf>
    <xf numFmtId="0" fontId="27" fillId="16" borderId="0" xfId="380" applyFont="1" applyFill="1" applyBorder="1" applyAlignment="1" applyProtection="1">
      <alignment vertical="top" wrapText="1"/>
      <protection hidden="1"/>
    </xf>
    <xf numFmtId="0" fontId="23" fillId="16" borderId="0" xfId="380" applyFont="1" applyFill="1" applyAlignment="1" applyProtection="1">
      <alignment vertical="top"/>
      <protection hidden="1"/>
    </xf>
    <xf numFmtId="0" fontId="23" fillId="16" borderId="0" xfId="380" applyFont="1" applyFill="1" applyBorder="1" applyAlignment="1" applyProtection="1">
      <alignment horizontal="right" vertical="center"/>
      <protection hidden="1"/>
    </xf>
    <xf numFmtId="0" fontId="29" fillId="16" borderId="0" xfId="380" applyFont="1" applyFill="1" applyAlignment="1" applyProtection="1">
      <alignment horizontal="center" vertical="center"/>
      <protection hidden="1"/>
    </xf>
    <xf numFmtId="0" fontId="30" fillId="16" borderId="0" xfId="380" applyFont="1" applyFill="1" applyBorder="1" applyAlignment="1" applyProtection="1">
      <alignment vertical="center"/>
      <protection hidden="1"/>
    </xf>
    <xf numFmtId="0" fontId="37" fillId="16" borderId="0" xfId="379" applyFont="1" applyFill="1" applyBorder="1" applyAlignment="1" applyProtection="1">
      <alignment vertical="center"/>
      <protection hidden="1"/>
    </xf>
    <xf numFmtId="0" fontId="22" fillId="16" borderId="0" xfId="380" applyFont="1" applyFill="1" applyBorder="1" applyAlignment="1" applyProtection="1">
      <alignment vertical="top"/>
      <protection hidden="1"/>
    </xf>
    <xf numFmtId="0" fontId="38" fillId="13" borderId="0" xfId="380" applyFont="1" applyFill="1" applyAlignment="1" applyProtection="1">
      <alignment horizontal="center" vertical="center"/>
      <protection hidden="1"/>
    </xf>
    <xf numFmtId="0" fontId="38" fillId="13" borderId="0" xfId="380" applyFont="1" applyFill="1" applyAlignment="1" applyProtection="1">
      <alignment vertical="top"/>
      <protection hidden="1"/>
    </xf>
    <xf numFmtId="164" fontId="35" fillId="16" borderId="0" xfId="380" applyNumberFormat="1" applyFont="1" applyFill="1" applyBorder="1" applyAlignment="1" applyProtection="1">
      <alignment horizontal="center" vertical="center" wrapText="1"/>
      <protection hidden="1"/>
    </xf>
    <xf numFmtId="164" fontId="35" fillId="16" borderId="0" xfId="380" applyNumberFormat="1" applyFont="1" applyFill="1" applyBorder="1" applyAlignment="1" applyProtection="1">
      <alignment horizontal="center" vertical="center"/>
      <protection hidden="1"/>
    </xf>
    <xf numFmtId="0" fontId="28" fillId="16" borderId="0" xfId="380" applyFont="1" applyFill="1" applyBorder="1" applyAlignment="1" applyProtection="1">
      <alignment vertical="center"/>
      <protection hidden="1"/>
    </xf>
    <xf numFmtId="0" fontId="23" fillId="16" borderId="2" xfId="380" applyFont="1" applyFill="1" applyBorder="1" applyAlignment="1" applyProtection="1">
      <alignment horizontal="center" vertical="top"/>
      <protection hidden="1"/>
    </xf>
    <xf numFmtId="0" fontId="23" fillId="16" borderId="3" xfId="380" applyFont="1" applyFill="1" applyBorder="1" applyAlignment="1" applyProtection="1">
      <alignment horizontal="center" vertical="top"/>
      <protection hidden="1"/>
    </xf>
    <xf numFmtId="0" fontId="23" fillId="16" borderId="4" xfId="380" applyFont="1" applyFill="1" applyBorder="1" applyAlignment="1" applyProtection="1">
      <alignment horizontal="center" vertical="top"/>
      <protection hidden="1"/>
    </xf>
    <xf numFmtId="0" fontId="23" fillId="16" borderId="7" xfId="380" applyFont="1" applyFill="1" applyBorder="1" applyAlignment="1" applyProtection="1">
      <alignment horizontal="center" vertical="top"/>
      <protection hidden="1"/>
    </xf>
    <xf numFmtId="0" fontId="23" fillId="16" borderId="8" xfId="380" applyFont="1" applyFill="1" applyBorder="1" applyAlignment="1" applyProtection="1">
      <alignment horizontal="center" vertical="top"/>
      <protection hidden="1"/>
    </xf>
    <xf numFmtId="0" fontId="23" fillId="16" borderId="9" xfId="380" applyFont="1" applyFill="1" applyBorder="1" applyAlignment="1" applyProtection="1">
      <alignment horizontal="center" vertical="top"/>
      <protection hidden="1"/>
    </xf>
    <xf numFmtId="0" fontId="31" fillId="0" borderId="0" xfId="0" applyFont="1" applyBorder="1" applyAlignment="1" applyProtection="1">
      <alignment horizontal="center" vertical="top"/>
      <protection locked="0"/>
    </xf>
    <xf numFmtId="0" fontId="22" fillId="12" borderId="1" xfId="380" applyFont="1" applyFill="1" applyBorder="1" applyAlignment="1" applyProtection="1">
      <alignment horizontal="center" vertical="center"/>
      <protection hidden="1"/>
    </xf>
    <xf numFmtId="164" fontId="22" fillId="11" borderId="10" xfId="380" applyNumberFormat="1" applyFont="1" applyFill="1" applyBorder="1" applyAlignment="1" applyProtection="1">
      <alignment horizontal="center" vertical="top"/>
      <protection hidden="1"/>
    </xf>
    <xf numFmtId="164" fontId="22" fillId="11" borderId="11" xfId="380" applyNumberFormat="1" applyFont="1" applyFill="1" applyBorder="1" applyAlignment="1" applyProtection="1">
      <alignment horizontal="center" vertical="top"/>
      <protection hidden="1"/>
    </xf>
    <xf numFmtId="164" fontId="22" fillId="11" borderId="12" xfId="380" applyNumberFormat="1" applyFont="1" applyFill="1" applyBorder="1" applyAlignment="1" applyProtection="1">
      <alignment horizontal="center" vertical="top"/>
      <protection hidden="1"/>
    </xf>
    <xf numFmtId="164" fontId="22" fillId="11" borderId="1" xfId="380" applyNumberFormat="1" applyFont="1" applyFill="1" applyBorder="1" applyAlignment="1" applyProtection="1">
      <alignment horizontal="center" vertical="center"/>
      <protection hidden="1"/>
    </xf>
    <xf numFmtId="0" fontId="24" fillId="16" borderId="10" xfId="380" applyFont="1" applyFill="1" applyBorder="1" applyAlignment="1" applyProtection="1">
      <alignment vertical="top"/>
      <protection hidden="1"/>
    </xf>
    <xf numFmtId="0" fontId="0" fillId="0" borderId="6" xfId="0" applyFont="1" applyBorder="1" applyAlignment="1">
      <alignment horizontal="center"/>
    </xf>
    <xf numFmtId="0" fontId="15" fillId="0" borderId="4" xfId="0" applyFont="1" applyBorder="1" applyAlignment="1">
      <alignment horizontal="center" vertical="center" wrapText="1"/>
    </xf>
    <xf numFmtId="0" fontId="0" fillId="0" borderId="9" xfId="0" applyFont="1" applyBorder="1" applyAlignment="1">
      <alignment horizontal="center"/>
    </xf>
    <xf numFmtId="0" fontId="0" fillId="0" borderId="14" xfId="0" applyFont="1" applyBorder="1" applyAlignment="1">
      <alignment horizontal="center"/>
    </xf>
    <xf numFmtId="0" fontId="0" fillId="0" borderId="5" xfId="0" applyFont="1" applyBorder="1" applyAlignment="1">
      <alignment horizontal="center"/>
    </xf>
    <xf numFmtId="0" fontId="0" fillId="0" borderId="0" xfId="0" applyFont="1" applyBorder="1" applyAlignment="1">
      <alignment horizontal="center"/>
    </xf>
    <xf numFmtId="0" fontId="0" fillId="16" borderId="0" xfId="0" applyFont="1" applyFill="1" applyBorder="1" applyAlignment="1">
      <alignment horizontal="center"/>
    </xf>
    <xf numFmtId="0" fontId="0" fillId="0" borderId="0" xfId="0" applyFont="1" applyAlignment="1">
      <alignment horizontal="center"/>
    </xf>
    <xf numFmtId="0" fontId="0" fillId="0" borderId="15"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xf>
    <xf numFmtId="0" fontId="10" fillId="4" borderId="0" xfId="379" applyFill="1" applyAlignment="1" applyProtection="1">
      <alignment vertical="top"/>
      <protection hidden="1"/>
    </xf>
    <xf numFmtId="0" fontId="10" fillId="4" borderId="0" xfId="379" applyFill="1" applyBorder="1" applyAlignment="1" applyProtection="1">
      <alignment horizontal="center" vertical="center" wrapText="1"/>
      <protection hidden="1"/>
    </xf>
    <xf numFmtId="0" fontId="26" fillId="24" borderId="7" xfId="379" applyFont="1" applyFill="1" applyBorder="1" applyAlignment="1" applyProtection="1">
      <alignment horizontal="center" vertical="top" wrapText="1"/>
      <protection hidden="1"/>
    </xf>
    <xf numFmtId="0" fontId="26" fillId="24" borderId="8" xfId="379" applyFont="1" applyFill="1" applyBorder="1" applyAlignment="1" applyProtection="1">
      <alignment horizontal="center" vertical="top" wrapText="1"/>
      <protection hidden="1"/>
    </xf>
    <xf numFmtId="0" fontId="26" fillId="24" borderId="9" xfId="379" applyFont="1" applyFill="1" applyBorder="1" applyAlignment="1" applyProtection="1">
      <alignment horizontal="center" vertical="top" wrapText="1"/>
      <protection hidden="1"/>
    </xf>
    <xf numFmtId="0" fontId="31" fillId="24" borderId="2" xfId="0" applyFont="1" applyFill="1" applyBorder="1" applyAlignment="1" applyProtection="1">
      <alignment horizontal="center" vertical="top" wrapText="1"/>
      <protection hidden="1"/>
    </xf>
    <xf numFmtId="0" fontId="31" fillId="24" borderId="3" xfId="0" applyFont="1" applyFill="1" applyBorder="1" applyAlignment="1" applyProtection="1">
      <alignment horizontal="center" vertical="top" wrapText="1"/>
      <protection hidden="1"/>
    </xf>
    <xf numFmtId="0" fontId="31" fillId="24" borderId="4" xfId="0" applyFont="1" applyFill="1" applyBorder="1" applyAlignment="1" applyProtection="1">
      <alignment horizontal="center" vertical="top" wrapText="1"/>
      <protection hidden="1"/>
    </xf>
    <xf numFmtId="0" fontId="31" fillId="24" borderId="5" xfId="0" applyFont="1" applyFill="1" applyBorder="1" applyAlignment="1" applyProtection="1">
      <alignment horizontal="center" vertical="top" wrapText="1"/>
      <protection hidden="1"/>
    </xf>
    <xf numFmtId="0" fontId="31" fillId="24" borderId="0" xfId="0" applyFont="1" applyFill="1" applyBorder="1" applyAlignment="1" applyProtection="1">
      <alignment horizontal="center" vertical="top" wrapText="1"/>
      <protection hidden="1"/>
    </xf>
    <xf numFmtId="0" fontId="31" fillId="24" borderId="6" xfId="0" applyFont="1" applyFill="1" applyBorder="1" applyAlignment="1" applyProtection="1">
      <alignment horizontal="center" vertical="top" wrapText="1"/>
      <protection hidden="1"/>
    </xf>
    <xf numFmtId="0" fontId="51" fillId="16" borderId="0" xfId="379" applyFont="1" applyFill="1" applyAlignment="1" applyProtection="1">
      <alignment horizontal="center" vertical="top"/>
      <protection hidden="1"/>
    </xf>
    <xf numFmtId="0" fontId="52" fillId="25" borderId="0" xfId="379" applyFont="1" applyFill="1" applyBorder="1" applyAlignment="1" applyProtection="1">
      <alignment horizontal="center" vertical="top"/>
      <protection hidden="1"/>
    </xf>
    <xf numFmtId="0" fontId="53" fillId="25" borderId="0" xfId="0" applyFont="1" applyFill="1" applyBorder="1" applyAlignment="1" applyProtection="1">
      <alignment horizontal="center" vertical="top"/>
      <protection hidden="1"/>
    </xf>
    <xf numFmtId="0" fontId="24" fillId="10" borderId="2" xfId="380" applyFont="1" applyFill="1" applyBorder="1" applyAlignment="1" applyProtection="1">
      <alignment horizontal="left" vertical="top" wrapText="1"/>
      <protection hidden="1"/>
    </xf>
    <xf numFmtId="0" fontId="24" fillId="10" borderId="3" xfId="380" applyFont="1" applyFill="1" applyBorder="1" applyAlignment="1" applyProtection="1">
      <alignment horizontal="left" vertical="top" wrapText="1"/>
      <protection hidden="1"/>
    </xf>
    <xf numFmtId="0" fontId="24" fillId="10" borderId="4" xfId="380" applyFont="1" applyFill="1" applyBorder="1" applyAlignment="1" applyProtection="1">
      <alignment horizontal="left" vertical="top" wrapText="1"/>
      <protection hidden="1"/>
    </xf>
    <xf numFmtId="0" fontId="24" fillId="10" borderId="5" xfId="380" applyFont="1" applyFill="1" applyBorder="1" applyAlignment="1" applyProtection="1">
      <alignment horizontal="left" vertical="top" wrapText="1"/>
      <protection hidden="1"/>
    </xf>
    <xf numFmtId="0" fontId="24" fillId="10" borderId="0" xfId="380" applyFont="1" applyFill="1" applyBorder="1" applyAlignment="1" applyProtection="1">
      <alignment horizontal="left" vertical="top" wrapText="1"/>
      <protection hidden="1"/>
    </xf>
    <xf numFmtId="0" fontId="24" fillId="10" borderId="6" xfId="380" applyFont="1" applyFill="1" applyBorder="1" applyAlignment="1" applyProtection="1">
      <alignment horizontal="left" vertical="top" wrapText="1"/>
      <protection hidden="1"/>
    </xf>
    <xf numFmtId="0" fontId="24" fillId="13" borderId="2" xfId="380" applyFont="1" applyFill="1" applyBorder="1" applyAlignment="1" applyProtection="1">
      <alignment horizontal="center" vertical="center"/>
      <protection hidden="1"/>
    </xf>
    <xf numFmtId="0" fontId="24" fillId="13" borderId="4" xfId="380" applyFont="1" applyFill="1" applyBorder="1" applyAlignment="1" applyProtection="1">
      <alignment horizontal="center" vertical="center"/>
      <protection hidden="1"/>
    </xf>
    <xf numFmtId="0" fontId="24" fillId="13" borderId="7" xfId="380" applyFont="1" applyFill="1" applyBorder="1" applyAlignment="1" applyProtection="1">
      <alignment horizontal="center" vertical="center"/>
      <protection hidden="1"/>
    </xf>
    <xf numFmtId="0" fontId="24" fillId="13" borderId="9" xfId="380" applyFont="1" applyFill="1" applyBorder="1" applyAlignment="1" applyProtection="1">
      <alignment horizontal="center" vertical="center"/>
      <protection hidden="1"/>
    </xf>
    <xf numFmtId="0" fontId="22" fillId="13" borderId="2" xfId="380" applyFont="1" applyFill="1" applyBorder="1" applyAlignment="1" applyProtection="1">
      <alignment horizontal="center" vertical="top" wrapText="1"/>
      <protection hidden="1"/>
    </xf>
    <xf numFmtId="0" fontId="22" fillId="13" borderId="3" xfId="380" applyFont="1" applyFill="1" applyBorder="1" applyAlignment="1" applyProtection="1">
      <alignment horizontal="center" vertical="top" wrapText="1"/>
      <protection hidden="1"/>
    </xf>
    <xf numFmtId="0" fontId="22" fillId="13" borderId="4" xfId="380" applyFont="1" applyFill="1" applyBorder="1" applyAlignment="1" applyProtection="1">
      <alignment horizontal="center" vertical="top" wrapText="1"/>
      <protection hidden="1"/>
    </xf>
    <xf numFmtId="0" fontId="22" fillId="13" borderId="7" xfId="380" applyFont="1" applyFill="1" applyBorder="1" applyAlignment="1" applyProtection="1">
      <alignment horizontal="center" vertical="top" wrapText="1"/>
      <protection hidden="1"/>
    </xf>
    <xf numFmtId="0" fontId="22" fillId="13" borderId="8" xfId="380" applyFont="1" applyFill="1" applyBorder="1" applyAlignment="1" applyProtection="1">
      <alignment horizontal="center" vertical="top" wrapText="1"/>
      <protection hidden="1"/>
    </xf>
    <xf numFmtId="0" fontId="22" fillId="13" borderId="9" xfId="380" applyFont="1" applyFill="1" applyBorder="1" applyAlignment="1" applyProtection="1">
      <alignment horizontal="center" vertical="top" wrapText="1"/>
      <protection hidden="1"/>
    </xf>
    <xf numFmtId="0" fontId="28" fillId="16" borderId="0" xfId="380" applyFont="1" applyFill="1" applyAlignment="1" applyProtection="1">
      <alignment horizontal="left" vertical="center"/>
      <protection hidden="1"/>
    </xf>
    <xf numFmtId="0" fontId="28" fillId="13" borderId="0" xfId="380" applyFont="1" applyFill="1" applyBorder="1" applyAlignment="1" applyProtection="1">
      <alignment horizontal="center" vertical="center"/>
      <protection hidden="1"/>
    </xf>
    <xf numFmtId="0" fontId="29" fillId="16" borderId="0" xfId="380" applyFont="1" applyFill="1" applyBorder="1" applyAlignment="1" applyProtection="1">
      <alignment horizontal="center" vertical="center"/>
      <protection hidden="1"/>
    </xf>
    <xf numFmtId="0" fontId="29" fillId="16" borderId="8" xfId="380" applyFont="1" applyFill="1" applyBorder="1" applyAlignment="1" applyProtection="1">
      <alignment horizontal="center" vertical="center"/>
      <protection hidden="1"/>
    </xf>
    <xf numFmtId="0" fontId="21" fillId="16" borderId="0" xfId="380" applyFont="1" applyFill="1" applyBorder="1" applyAlignment="1" applyProtection="1">
      <alignment horizontal="left" vertical="center"/>
      <protection hidden="1"/>
    </xf>
    <xf numFmtId="0" fontId="28" fillId="16" borderId="0" xfId="380" applyFont="1" applyFill="1" applyBorder="1" applyAlignment="1" applyProtection="1">
      <alignment horizontal="left" vertical="center"/>
      <protection hidden="1"/>
    </xf>
    <xf numFmtId="0" fontId="24" fillId="13" borderId="2" xfId="380" applyFont="1" applyFill="1" applyBorder="1" applyAlignment="1" applyProtection="1">
      <alignment horizontal="center" vertical="top"/>
      <protection hidden="1"/>
    </xf>
    <xf numFmtId="0" fontId="24" fillId="13" borderId="3" xfId="380" applyFont="1" applyFill="1" applyBorder="1" applyAlignment="1" applyProtection="1">
      <alignment horizontal="center" vertical="top"/>
      <protection hidden="1"/>
    </xf>
    <xf numFmtId="0" fontId="24" fillId="13" borderId="4" xfId="380" applyFont="1" applyFill="1" applyBorder="1" applyAlignment="1" applyProtection="1">
      <alignment horizontal="center" vertical="top"/>
      <protection hidden="1"/>
    </xf>
    <xf numFmtId="0" fontId="24" fillId="13" borderId="7" xfId="380" applyFont="1" applyFill="1" applyBorder="1" applyAlignment="1" applyProtection="1">
      <alignment horizontal="center" vertical="top"/>
      <protection hidden="1"/>
    </xf>
    <xf numFmtId="0" fontId="24" fillId="13" borderId="8" xfId="380" applyFont="1" applyFill="1" applyBorder="1" applyAlignment="1" applyProtection="1">
      <alignment horizontal="center" vertical="top"/>
      <protection hidden="1"/>
    </xf>
    <xf numFmtId="0" fontId="24" fillId="13" borderId="9" xfId="380" applyFont="1" applyFill="1" applyBorder="1" applyAlignment="1" applyProtection="1">
      <alignment horizontal="center" vertical="top"/>
      <protection hidden="1"/>
    </xf>
    <xf numFmtId="0" fontId="24" fillId="12" borderId="10" xfId="380" applyFont="1" applyFill="1" applyBorder="1" applyAlignment="1" applyProtection="1">
      <alignment horizontal="center" vertical="center" wrapText="1"/>
      <protection hidden="1"/>
    </xf>
    <xf numFmtId="0" fontId="24" fillId="12" borderId="12" xfId="380" applyFont="1" applyFill="1" applyBorder="1" applyAlignment="1" applyProtection="1">
      <alignment horizontal="center" vertical="center" wrapText="1"/>
      <protection hidden="1"/>
    </xf>
    <xf numFmtId="0" fontId="41" fillId="25" borderId="0" xfId="0" applyFont="1" applyFill="1" applyBorder="1" applyAlignment="1" applyProtection="1">
      <alignment horizontal="center" vertical="top"/>
      <protection hidden="1"/>
    </xf>
    <xf numFmtId="0" fontId="42" fillId="25" borderId="0" xfId="0" applyFont="1" applyFill="1" applyBorder="1" applyAlignment="1" applyProtection="1">
      <alignment horizontal="center" vertical="top"/>
      <protection hidden="1"/>
    </xf>
    <xf numFmtId="0" fontId="11" fillId="12" borderId="10" xfId="380" applyFont="1" applyFill="1" applyBorder="1" applyAlignment="1" applyProtection="1">
      <alignment horizontal="center" vertical="center" wrapText="1"/>
      <protection hidden="1"/>
    </xf>
    <xf numFmtId="0" fontId="11" fillId="12" borderId="12" xfId="380" applyFont="1" applyFill="1" applyBorder="1" applyAlignment="1" applyProtection="1">
      <alignment horizontal="center" vertical="center" wrapText="1"/>
      <protection hidden="1"/>
    </xf>
    <xf numFmtId="0" fontId="30" fillId="13" borderId="13" xfId="380" applyFont="1" applyFill="1" applyBorder="1" applyAlignment="1" applyProtection="1">
      <alignment horizontal="center" vertical="center"/>
      <protection hidden="1"/>
    </xf>
    <xf numFmtId="0" fontId="30" fillId="13" borderId="15" xfId="380" applyFont="1" applyFill="1" applyBorder="1" applyAlignment="1" applyProtection="1">
      <alignment horizontal="center" vertical="center"/>
      <protection hidden="1"/>
    </xf>
    <xf numFmtId="0" fontId="22" fillId="13" borderId="13" xfId="380" applyFont="1" applyFill="1" applyBorder="1" applyAlignment="1" applyProtection="1">
      <alignment horizontal="center" vertical="center" wrapText="1"/>
      <protection hidden="1"/>
    </xf>
    <xf numFmtId="0" fontId="22" fillId="13" borderId="15" xfId="380" applyFont="1" applyFill="1" applyBorder="1" applyAlignment="1" applyProtection="1">
      <alignment horizontal="center" vertical="center" wrapText="1"/>
      <protection hidden="1"/>
    </xf>
    <xf numFmtId="0" fontId="24" fillId="12" borderId="2" xfId="380" applyFont="1" applyFill="1" applyBorder="1" applyAlignment="1" applyProtection="1">
      <alignment horizontal="center" vertical="center" wrapText="1"/>
      <protection hidden="1"/>
    </xf>
    <xf numFmtId="0" fontId="24" fillId="12" borderId="4" xfId="38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center" wrapText="1"/>
      <protection locked="0"/>
    </xf>
    <xf numFmtId="0" fontId="33" fillId="13" borderId="0" xfId="380" applyFont="1" applyFill="1" applyBorder="1" applyAlignment="1" applyProtection="1">
      <alignment horizontal="center" vertical="center"/>
      <protection hidden="1"/>
    </xf>
    <xf numFmtId="0" fontId="21" fillId="13" borderId="0" xfId="380" applyFont="1" applyFill="1" applyAlignment="1" applyProtection="1">
      <alignment horizontal="center" vertical="center"/>
      <protection hidden="1"/>
    </xf>
    <xf numFmtId="165" fontId="39" fillId="7" borderId="13" xfId="380" applyNumberFormat="1" applyFont="1" applyFill="1" applyBorder="1" applyAlignment="1" applyProtection="1">
      <alignment horizontal="center" vertical="center"/>
      <protection hidden="1"/>
    </xf>
    <xf numFmtId="165" fontId="39" fillId="7" borderId="15" xfId="380" applyNumberFormat="1" applyFont="1" applyFill="1" applyBorder="1" applyAlignment="1" applyProtection="1">
      <alignment horizontal="center" vertical="center"/>
      <protection hidden="1"/>
    </xf>
    <xf numFmtId="0" fontId="30" fillId="13" borderId="1" xfId="380" applyFont="1" applyFill="1" applyBorder="1" applyAlignment="1" applyProtection="1">
      <alignment horizontal="center" vertical="center"/>
      <protection hidden="1"/>
    </xf>
    <xf numFmtId="0" fontId="38" fillId="7" borderId="1" xfId="380" applyFont="1" applyFill="1" applyBorder="1" applyAlignment="1" applyProtection="1">
      <alignment horizontal="center" vertical="center" wrapText="1"/>
      <protection hidden="1"/>
    </xf>
    <xf numFmtId="164" fontId="22" fillId="7" borderId="3" xfId="380" applyNumberFormat="1" applyFont="1" applyFill="1" applyBorder="1" applyAlignment="1" applyProtection="1">
      <alignment horizontal="center" vertical="center" wrapText="1"/>
      <protection hidden="1"/>
    </xf>
    <xf numFmtId="164" fontId="22" fillId="7" borderId="0" xfId="380" applyNumberFormat="1" applyFont="1" applyFill="1" applyBorder="1" applyAlignment="1" applyProtection="1">
      <alignment horizontal="center" vertical="center" wrapText="1"/>
      <protection hidden="1"/>
    </xf>
    <xf numFmtId="164" fontId="22" fillId="7" borderId="8" xfId="380" applyNumberFormat="1" applyFont="1" applyFill="1" applyBorder="1" applyAlignment="1" applyProtection="1">
      <alignment horizontal="center" vertical="center" wrapText="1"/>
      <protection hidden="1"/>
    </xf>
    <xf numFmtId="0" fontId="28" fillId="13" borderId="0" xfId="380" applyFont="1" applyFill="1" applyAlignment="1" applyProtection="1">
      <alignment horizontal="center" vertical="center" wrapText="1"/>
      <protection hidden="1"/>
    </xf>
    <xf numFmtId="0" fontId="32" fillId="11" borderId="10" xfId="0" applyFont="1" applyFill="1" applyBorder="1" applyAlignment="1" applyProtection="1">
      <alignment horizontal="center" vertical="center" wrapText="1"/>
      <protection hidden="1"/>
    </xf>
    <xf numFmtId="0" fontId="32" fillId="11" borderId="11" xfId="0" applyFont="1" applyFill="1" applyBorder="1" applyAlignment="1" applyProtection="1">
      <alignment horizontal="center" vertical="center" wrapText="1"/>
      <protection hidden="1"/>
    </xf>
    <xf numFmtId="0" fontId="32" fillId="11" borderId="12" xfId="0" applyFont="1" applyFill="1" applyBorder="1" applyAlignment="1" applyProtection="1">
      <alignment horizontal="center" vertical="center" wrapText="1"/>
      <protection hidden="1"/>
    </xf>
    <xf numFmtId="0" fontId="24" fillId="0" borderId="10" xfId="0" applyFont="1" applyFill="1" applyBorder="1" applyAlignment="1" applyProtection="1">
      <alignment horizontal="center" vertical="center" wrapText="1"/>
      <protection locked="0"/>
    </xf>
    <xf numFmtId="0" fontId="24" fillId="0" borderId="11" xfId="0" applyFont="1" applyFill="1" applyBorder="1" applyAlignment="1" applyProtection="1">
      <alignment horizontal="center" vertical="center" wrapText="1"/>
      <protection locked="0"/>
    </xf>
    <xf numFmtId="0" fontId="24" fillId="12" borderId="10" xfId="0" applyFont="1" applyFill="1" applyBorder="1" applyAlignment="1" applyProtection="1">
      <alignment horizontal="center" vertical="center" wrapText="1"/>
      <protection hidden="1"/>
    </xf>
    <xf numFmtId="0" fontId="24" fillId="12" borderId="12" xfId="0" applyFont="1" applyFill="1" applyBorder="1" applyAlignment="1" applyProtection="1">
      <alignment horizontal="center" vertical="center" wrapText="1"/>
      <protection hidden="1"/>
    </xf>
    <xf numFmtId="164" fontId="22" fillId="7" borderId="1" xfId="380" applyNumberFormat="1" applyFont="1" applyFill="1" applyBorder="1" applyAlignment="1" applyProtection="1">
      <alignment horizontal="center" vertical="center"/>
      <protection hidden="1"/>
    </xf>
    <xf numFmtId="0" fontId="24" fillId="10" borderId="10" xfId="380" applyFont="1" applyFill="1" applyBorder="1" applyAlignment="1" applyProtection="1">
      <alignment horizontal="center" vertical="center" wrapText="1"/>
      <protection hidden="1"/>
    </xf>
    <xf numFmtId="0" fontId="24" fillId="10" borderId="11" xfId="380" applyFont="1" applyFill="1" applyBorder="1" applyAlignment="1" applyProtection="1">
      <alignment horizontal="center" vertical="center" wrapText="1"/>
      <protection hidden="1"/>
    </xf>
    <xf numFmtId="0" fontId="24" fillId="10" borderId="12" xfId="380" applyFont="1" applyFill="1" applyBorder="1" applyAlignment="1" applyProtection="1">
      <alignment horizontal="center" vertical="center" wrapText="1"/>
      <protection hidden="1"/>
    </xf>
    <xf numFmtId="0" fontId="9" fillId="11" borderId="10" xfId="0" applyFont="1" applyFill="1" applyBorder="1" applyAlignment="1" applyProtection="1">
      <alignment horizontal="center" vertical="center" wrapText="1"/>
      <protection hidden="1"/>
    </xf>
    <xf numFmtId="0" fontId="9" fillId="11" borderId="11" xfId="0" applyFont="1" applyFill="1" applyBorder="1" applyAlignment="1" applyProtection="1">
      <alignment horizontal="center" vertical="center" wrapText="1"/>
      <protection hidden="1"/>
    </xf>
    <xf numFmtId="0" fontId="9" fillId="11" borderId="12" xfId="0" applyFont="1" applyFill="1" applyBorder="1" applyAlignment="1" applyProtection="1">
      <alignment horizontal="center" vertical="center" wrapText="1"/>
      <protection hidden="1"/>
    </xf>
    <xf numFmtId="0" fontId="22" fillId="11" borderId="13" xfId="380" applyFont="1" applyFill="1" applyBorder="1" applyAlignment="1" applyProtection="1">
      <alignment horizontal="center" vertical="center" wrapText="1"/>
      <protection hidden="1"/>
    </xf>
    <xf numFmtId="0" fontId="22" fillId="11" borderId="2" xfId="380" applyFont="1" applyFill="1" applyBorder="1" applyAlignment="1" applyProtection="1">
      <alignment horizontal="center" vertical="center" wrapText="1"/>
      <protection hidden="1"/>
    </xf>
    <xf numFmtId="0" fontId="8" fillId="10" borderId="7" xfId="0" applyFont="1" applyFill="1" applyBorder="1" applyAlignment="1" applyProtection="1">
      <alignment horizontal="center" vertical="center" wrapText="1"/>
      <protection hidden="1"/>
    </xf>
    <xf numFmtId="0" fontId="8" fillId="10" borderId="8" xfId="0" applyFont="1" applyFill="1" applyBorder="1" applyAlignment="1" applyProtection="1">
      <alignment horizontal="center" vertical="center" wrapText="1"/>
      <protection hidden="1"/>
    </xf>
    <xf numFmtId="0" fontId="8" fillId="10" borderId="9" xfId="0" applyFont="1" applyFill="1" applyBorder="1" applyAlignment="1" applyProtection="1">
      <alignment horizontal="center" vertical="center" wrapText="1"/>
      <protection hidden="1"/>
    </xf>
    <xf numFmtId="0" fontId="22" fillId="13" borderId="2" xfId="380" applyFont="1" applyFill="1" applyBorder="1" applyAlignment="1" applyProtection="1">
      <alignment horizontal="center" vertical="center"/>
      <protection hidden="1"/>
    </xf>
    <xf numFmtId="0" fontId="22" fillId="13" borderId="3" xfId="380" applyFont="1" applyFill="1" applyBorder="1" applyAlignment="1" applyProtection="1">
      <alignment horizontal="center" vertical="center"/>
      <protection hidden="1"/>
    </xf>
    <xf numFmtId="0" fontId="22" fillId="13" borderId="4" xfId="380" applyFont="1" applyFill="1" applyBorder="1" applyAlignment="1" applyProtection="1">
      <alignment horizontal="center" vertical="center"/>
      <protection hidden="1"/>
    </xf>
    <xf numFmtId="0" fontId="24" fillId="0" borderId="7" xfId="380" applyFont="1" applyFill="1" applyBorder="1" applyAlignment="1" applyProtection="1">
      <alignment horizontal="left" vertical="top" wrapText="1"/>
      <protection locked="0"/>
    </xf>
    <xf numFmtId="0" fontId="24" fillId="0" borderId="8" xfId="380" applyFont="1" applyFill="1" applyBorder="1" applyAlignment="1" applyProtection="1">
      <alignment horizontal="left" vertical="top" wrapText="1"/>
      <protection locked="0"/>
    </xf>
    <xf numFmtId="0" fontId="24" fillId="0" borderId="9" xfId="380" applyFont="1" applyFill="1" applyBorder="1" applyAlignment="1" applyProtection="1">
      <alignment horizontal="left" vertical="top" wrapText="1"/>
      <protection locked="0"/>
    </xf>
    <xf numFmtId="0" fontId="24" fillId="0" borderId="5" xfId="380" applyFont="1" applyFill="1" applyBorder="1" applyAlignment="1" applyProtection="1">
      <alignment horizontal="left" vertical="top" wrapText="1"/>
      <protection locked="0"/>
    </xf>
    <xf numFmtId="0" fontId="24" fillId="0" borderId="0" xfId="380" applyFont="1" applyFill="1" applyBorder="1" applyAlignment="1" applyProtection="1">
      <alignment horizontal="left" vertical="top" wrapText="1"/>
      <protection locked="0"/>
    </xf>
    <xf numFmtId="0" fontId="24" fillId="0" borderId="6" xfId="380" applyFont="1" applyFill="1" applyBorder="1" applyAlignment="1" applyProtection="1">
      <alignment horizontal="left" vertical="top" wrapText="1"/>
      <protection locked="0"/>
    </xf>
    <xf numFmtId="0" fontId="14" fillId="16" borderId="0" xfId="380" applyFont="1" applyFill="1" applyAlignment="1" applyProtection="1">
      <alignment horizontal="left" vertical="top" wrapText="1"/>
      <protection hidden="1"/>
    </xf>
    <xf numFmtId="0" fontId="24" fillId="12" borderId="5" xfId="380" applyFont="1" applyFill="1" applyBorder="1" applyAlignment="1" applyProtection="1">
      <alignment horizontal="center" vertical="center" wrapText="1"/>
      <protection hidden="1"/>
    </xf>
    <xf numFmtId="0" fontId="24" fillId="12" borderId="6" xfId="380" applyFont="1" applyFill="1" applyBorder="1" applyAlignment="1" applyProtection="1">
      <alignment horizontal="center" vertical="center" wrapText="1"/>
      <protection hidden="1"/>
    </xf>
    <xf numFmtId="0" fontId="23" fillId="16" borderId="2" xfId="380" applyFont="1" applyFill="1" applyBorder="1" applyAlignment="1" applyProtection="1">
      <alignment horizontal="left" vertical="top" wrapText="1"/>
      <protection hidden="1"/>
    </xf>
    <xf numFmtId="0" fontId="23" fillId="16" borderId="3" xfId="380" applyFont="1" applyFill="1" applyBorder="1" applyAlignment="1" applyProtection="1">
      <alignment horizontal="left" vertical="top" wrapText="1"/>
      <protection hidden="1"/>
    </xf>
    <xf numFmtId="0" fontId="23" fillId="16" borderId="4" xfId="380" applyFont="1" applyFill="1" applyBorder="1" applyAlignment="1" applyProtection="1">
      <alignment horizontal="left" vertical="top" wrapText="1"/>
      <protection hidden="1"/>
    </xf>
    <xf numFmtId="0" fontId="22" fillId="7" borderId="15" xfId="380" applyFont="1" applyFill="1" applyBorder="1" applyAlignment="1" applyProtection="1">
      <alignment horizontal="center" vertical="center" wrapText="1"/>
      <protection hidden="1"/>
    </xf>
    <xf numFmtId="0" fontId="22" fillId="7" borderId="7" xfId="380" applyFont="1" applyFill="1" applyBorder="1" applyAlignment="1" applyProtection="1">
      <alignment horizontal="center" vertical="center" wrapText="1"/>
      <protection hidden="1"/>
    </xf>
    <xf numFmtId="0" fontId="22" fillId="7" borderId="1" xfId="380" applyFont="1" applyFill="1" applyBorder="1" applyAlignment="1" applyProtection="1">
      <alignment horizontal="center" vertical="center" wrapText="1"/>
      <protection hidden="1"/>
    </xf>
    <xf numFmtId="0" fontId="22" fillId="7" borderId="10" xfId="380" applyFont="1" applyFill="1" applyBorder="1" applyAlignment="1" applyProtection="1">
      <alignment horizontal="center" vertical="center" wrapText="1"/>
      <protection hidden="1"/>
    </xf>
    <xf numFmtId="0" fontId="21" fillId="16" borderId="0" xfId="380" applyFont="1" applyFill="1" applyAlignment="1" applyProtection="1">
      <alignment horizontal="left" vertical="top" wrapText="1"/>
      <protection hidden="1"/>
    </xf>
    <xf numFmtId="164" fontId="22" fillId="7" borderId="2" xfId="380" applyNumberFormat="1" applyFont="1" applyFill="1" applyBorder="1" applyAlignment="1" applyProtection="1">
      <alignment horizontal="center" vertical="center" wrapText="1"/>
      <protection hidden="1"/>
    </xf>
    <xf numFmtId="164" fontId="22" fillId="7" borderId="5" xfId="380" applyNumberFormat="1" applyFont="1" applyFill="1" applyBorder="1" applyAlignment="1" applyProtection="1">
      <alignment horizontal="center" vertical="center" wrapText="1"/>
      <protection hidden="1"/>
    </xf>
    <xf numFmtId="164" fontId="22" fillId="7" borderId="7" xfId="380" applyNumberFormat="1" applyFont="1" applyFill="1" applyBorder="1" applyAlignment="1" applyProtection="1">
      <alignment horizontal="center" vertical="center" wrapText="1"/>
      <protection hidden="1"/>
    </xf>
    <xf numFmtId="0" fontId="11" fillId="0" borderId="10" xfId="0" applyFont="1" applyFill="1" applyBorder="1" applyAlignment="1" applyProtection="1">
      <alignment horizontal="center" vertical="center" wrapText="1"/>
      <protection hidden="1"/>
    </xf>
    <xf numFmtId="0" fontId="11" fillId="0" borderId="11" xfId="0" applyFont="1" applyFill="1" applyBorder="1" applyAlignment="1" applyProtection="1">
      <alignment horizontal="center" vertical="center" wrapText="1"/>
      <protection hidden="1"/>
    </xf>
    <xf numFmtId="0" fontId="8" fillId="10" borderId="10" xfId="0" applyFont="1" applyFill="1" applyBorder="1" applyAlignment="1" applyProtection="1">
      <alignment horizontal="center" vertical="center" wrapText="1"/>
      <protection hidden="1"/>
    </xf>
    <xf numFmtId="0" fontId="8" fillId="10" borderId="11" xfId="0" applyFont="1" applyFill="1" applyBorder="1" applyAlignment="1" applyProtection="1">
      <alignment horizontal="center" vertical="center" wrapText="1"/>
      <protection hidden="1"/>
    </xf>
    <xf numFmtId="0" fontId="8" fillId="10" borderId="12" xfId="0" applyFont="1" applyFill="1" applyBorder="1" applyAlignment="1" applyProtection="1">
      <alignment horizontal="center" vertical="center" wrapText="1"/>
      <protection hidden="1"/>
    </xf>
    <xf numFmtId="0" fontId="29" fillId="13" borderId="0" xfId="380" applyFont="1" applyFill="1" applyAlignment="1" applyProtection="1">
      <alignment horizontal="center" vertical="center"/>
      <protection hidden="1"/>
    </xf>
    <xf numFmtId="0" fontId="22" fillId="13" borderId="7" xfId="380" applyFont="1" applyFill="1" applyBorder="1" applyAlignment="1" applyProtection="1">
      <alignment horizontal="center" vertical="center" wrapText="1"/>
      <protection hidden="1"/>
    </xf>
    <xf numFmtId="0" fontId="22" fillId="13" borderId="8" xfId="380" applyFont="1" applyFill="1" applyBorder="1" applyAlignment="1" applyProtection="1">
      <alignment horizontal="center" vertical="center" wrapText="1"/>
      <protection hidden="1"/>
    </xf>
    <xf numFmtId="0" fontId="22" fillId="13" borderId="9" xfId="380" applyFont="1" applyFill="1" applyBorder="1" applyAlignment="1" applyProtection="1">
      <alignment horizontal="center" vertical="center" wrapText="1"/>
      <protection hidden="1"/>
    </xf>
    <xf numFmtId="0" fontId="22" fillId="7" borderId="8" xfId="380" applyFont="1" applyFill="1" applyBorder="1" applyAlignment="1" applyProtection="1">
      <alignment horizontal="center" vertical="center" wrapText="1"/>
      <protection hidden="1"/>
    </xf>
    <xf numFmtId="0" fontId="22" fillId="7" borderId="9" xfId="380" applyFont="1" applyFill="1" applyBorder="1" applyAlignment="1" applyProtection="1">
      <alignment horizontal="center" vertical="center" wrapText="1"/>
      <protection hidden="1"/>
    </xf>
    <xf numFmtId="165" fontId="40" fillId="14" borderId="14" xfId="380" applyNumberFormat="1" applyFont="1" applyFill="1" applyBorder="1" applyAlignment="1" applyProtection="1">
      <alignment horizontal="center" vertical="center"/>
      <protection hidden="1"/>
    </xf>
    <xf numFmtId="165" fontId="40" fillId="14" borderId="15" xfId="380" applyNumberFormat="1" applyFont="1" applyFill="1" applyBorder="1" applyAlignment="1" applyProtection="1">
      <alignment horizontal="center" vertical="center"/>
      <protection hidden="1"/>
    </xf>
    <xf numFmtId="0" fontId="40" fillId="14" borderId="1" xfId="380" applyFont="1" applyFill="1" applyBorder="1" applyAlignment="1" applyProtection="1">
      <alignment horizontal="center" vertical="center" wrapText="1"/>
      <protection hidden="1"/>
    </xf>
    <xf numFmtId="0" fontId="23" fillId="16" borderId="7" xfId="380" applyFont="1" applyFill="1" applyBorder="1" applyAlignment="1" applyProtection="1">
      <alignment horizontal="left" vertical="top" wrapText="1"/>
      <protection hidden="1"/>
    </xf>
    <xf numFmtId="0" fontId="23" fillId="16" borderId="8" xfId="380" applyFont="1" applyFill="1" applyBorder="1" applyAlignment="1" applyProtection="1">
      <alignment horizontal="left" vertical="top" wrapText="1"/>
      <protection hidden="1"/>
    </xf>
    <xf numFmtId="0" fontId="23" fillId="16" borderId="9" xfId="380" applyFont="1" applyFill="1" applyBorder="1" applyAlignment="1" applyProtection="1">
      <alignment horizontal="left" vertical="top" wrapText="1"/>
      <protection hidden="1"/>
    </xf>
    <xf numFmtId="0" fontId="24" fillId="0" borderId="2" xfId="380" applyFont="1" applyFill="1" applyBorder="1" applyAlignment="1" applyProtection="1">
      <alignment horizontal="left" vertical="top" wrapText="1"/>
      <protection locked="0"/>
    </xf>
    <xf numFmtId="0" fontId="24" fillId="0" borderId="3" xfId="380" applyFont="1" applyFill="1" applyBorder="1" applyAlignment="1" applyProtection="1">
      <alignment horizontal="left" vertical="top" wrapText="1"/>
      <protection locked="0"/>
    </xf>
    <xf numFmtId="0" fontId="24" fillId="0" borderId="4" xfId="380" applyFont="1" applyFill="1" applyBorder="1" applyAlignment="1" applyProtection="1">
      <alignment horizontal="left" vertical="top" wrapText="1"/>
      <protection locked="0"/>
    </xf>
    <xf numFmtId="0" fontId="22" fillId="13" borderId="2" xfId="380" applyFont="1" applyFill="1" applyBorder="1" applyAlignment="1" applyProtection="1">
      <alignment horizontal="center" vertical="center" wrapText="1"/>
      <protection hidden="1"/>
    </xf>
    <xf numFmtId="0" fontId="22" fillId="13" borderId="3" xfId="380" applyFont="1" applyFill="1" applyBorder="1" applyAlignment="1" applyProtection="1">
      <alignment horizontal="center" vertical="center" wrapText="1"/>
      <protection hidden="1"/>
    </xf>
    <xf numFmtId="0" fontId="22" fillId="13" borderId="4" xfId="380" applyFont="1" applyFill="1" applyBorder="1" applyAlignment="1" applyProtection="1">
      <alignment horizontal="center" vertical="center" wrapText="1"/>
      <protection hidden="1"/>
    </xf>
    <xf numFmtId="0" fontId="24" fillId="0" borderId="13" xfId="380" applyFont="1" applyFill="1" applyBorder="1" applyAlignment="1" applyProtection="1">
      <alignment horizontal="center" vertical="center"/>
      <protection locked="0"/>
    </xf>
    <xf numFmtId="0" fontId="24" fillId="0" borderId="15" xfId="380" applyFont="1" applyFill="1" applyBorder="1" applyAlignment="1" applyProtection="1">
      <alignment horizontal="center" vertical="center"/>
      <protection locked="0"/>
    </xf>
    <xf numFmtId="0" fontId="28" fillId="16" borderId="0" xfId="380" applyFont="1" applyFill="1" applyBorder="1" applyAlignment="1" applyProtection="1">
      <alignment horizontal="center" vertical="center"/>
      <protection hidden="1"/>
    </xf>
    <xf numFmtId="0" fontId="45" fillId="16" borderId="10" xfId="380" applyFont="1" applyFill="1" applyBorder="1" applyAlignment="1" applyProtection="1">
      <alignment horizontal="left" vertical="top" wrapText="1"/>
      <protection hidden="1"/>
    </xf>
    <xf numFmtId="0" fontId="45" fillId="16" borderId="11" xfId="380" applyFont="1" applyFill="1" applyBorder="1" applyAlignment="1" applyProtection="1">
      <alignment horizontal="left" vertical="top" wrapText="1"/>
      <protection hidden="1"/>
    </xf>
    <xf numFmtId="0" fontId="45" fillId="16" borderId="12" xfId="380" applyFont="1" applyFill="1" applyBorder="1" applyAlignment="1" applyProtection="1">
      <alignment horizontal="left" vertical="top" wrapText="1"/>
      <protection hidden="1"/>
    </xf>
    <xf numFmtId="0" fontId="24" fillId="12" borderId="7" xfId="380" applyFont="1" applyFill="1" applyBorder="1" applyAlignment="1" applyProtection="1">
      <alignment horizontal="center" vertical="center" wrapText="1"/>
      <protection hidden="1"/>
    </xf>
    <xf numFmtId="0" fontId="24" fillId="12" borderId="9" xfId="380" applyFont="1" applyFill="1" applyBorder="1" applyAlignment="1" applyProtection="1">
      <alignment horizontal="center" vertical="center" wrapText="1"/>
      <protection hidden="1"/>
    </xf>
    <xf numFmtId="0" fontId="25" fillId="16" borderId="0" xfId="0" applyFont="1" applyFill="1" applyBorder="1" applyAlignment="1" applyProtection="1">
      <alignment horizontal="center" vertical="top"/>
      <protection hidden="1"/>
    </xf>
    <xf numFmtId="0" fontId="31" fillId="10" borderId="1" xfId="0" applyFont="1" applyFill="1" applyBorder="1" applyAlignment="1" applyProtection="1">
      <alignment horizontal="left" vertical="center" wrapText="1"/>
      <protection hidden="1"/>
    </xf>
    <xf numFmtId="0" fontId="31" fillId="10" borderId="1" xfId="0" applyFont="1" applyFill="1" applyBorder="1" applyAlignment="1" applyProtection="1">
      <alignment horizontal="center" vertical="center" wrapText="1"/>
      <protection hidden="1"/>
    </xf>
    <xf numFmtId="0" fontId="29" fillId="16" borderId="0" xfId="380" applyFont="1" applyFill="1" applyAlignment="1" applyProtection="1">
      <alignment horizontal="left" vertical="center"/>
      <protection hidden="1"/>
    </xf>
    <xf numFmtId="0" fontId="24" fillId="10" borderId="1" xfId="380" applyFont="1" applyFill="1" applyBorder="1" applyAlignment="1" applyProtection="1">
      <alignment horizontal="center" vertical="center" wrapText="1"/>
      <protection hidden="1"/>
    </xf>
    <xf numFmtId="0" fontId="43" fillId="17" borderId="10" xfId="0" applyFont="1" applyFill="1" applyBorder="1" applyAlignment="1" applyProtection="1">
      <alignment horizontal="left" vertical="top" wrapText="1"/>
      <protection hidden="1"/>
    </xf>
    <xf numFmtId="0" fontId="43" fillId="17" borderId="11" xfId="0" applyFont="1" applyFill="1" applyBorder="1" applyAlignment="1" applyProtection="1">
      <alignment horizontal="left" vertical="top" wrapText="1"/>
      <protection hidden="1"/>
    </xf>
    <xf numFmtId="0" fontId="43" fillId="17" borderId="12" xfId="0" applyFont="1" applyFill="1" applyBorder="1" applyAlignment="1" applyProtection="1">
      <alignment horizontal="left" vertical="top" wrapText="1"/>
      <protection hidden="1"/>
    </xf>
    <xf numFmtId="0" fontId="22" fillId="13" borderId="5" xfId="380" applyFont="1" applyFill="1" applyBorder="1" applyAlignment="1" applyProtection="1">
      <alignment horizontal="center" vertical="center"/>
      <protection hidden="1"/>
    </xf>
    <xf numFmtId="0" fontId="22" fillId="13" borderId="0" xfId="380" applyFont="1" applyFill="1" applyBorder="1" applyAlignment="1" applyProtection="1">
      <alignment horizontal="center" vertical="center"/>
      <protection hidden="1"/>
    </xf>
    <xf numFmtId="0" fontId="22" fillId="13" borderId="6" xfId="380" applyFont="1" applyFill="1" applyBorder="1" applyAlignment="1" applyProtection="1">
      <alignment horizontal="center" vertical="center"/>
      <protection hidden="1"/>
    </xf>
    <xf numFmtId="0" fontId="35" fillId="13" borderId="2" xfId="380" applyFont="1" applyFill="1" applyBorder="1" applyAlignment="1" applyProtection="1">
      <alignment horizontal="center" vertical="center" wrapText="1"/>
      <protection hidden="1"/>
    </xf>
    <xf numFmtId="0" fontId="35" fillId="13" borderId="3" xfId="380" applyFont="1" applyFill="1" applyBorder="1" applyAlignment="1" applyProtection="1">
      <alignment horizontal="center" vertical="center" wrapText="1"/>
      <protection hidden="1"/>
    </xf>
    <xf numFmtId="0" fontId="35" fillId="13" borderId="4" xfId="380" applyFont="1" applyFill="1" applyBorder="1" applyAlignment="1" applyProtection="1">
      <alignment horizontal="center" vertical="center" wrapText="1"/>
      <protection hidden="1"/>
    </xf>
    <xf numFmtId="0" fontId="35" fillId="13" borderId="7" xfId="380" applyFont="1" applyFill="1" applyBorder="1" applyAlignment="1" applyProtection="1">
      <alignment horizontal="center" vertical="center" wrapText="1"/>
      <protection hidden="1"/>
    </xf>
    <xf numFmtId="0" fontId="35" fillId="13" borderId="8" xfId="380" applyFont="1" applyFill="1" applyBorder="1" applyAlignment="1" applyProtection="1">
      <alignment horizontal="center" vertical="center" wrapText="1"/>
      <protection hidden="1"/>
    </xf>
    <xf numFmtId="0" fontId="35" fillId="13" borderId="9" xfId="380" applyFont="1" applyFill="1" applyBorder="1" applyAlignment="1" applyProtection="1">
      <alignment horizontal="center" vertical="center" wrapText="1"/>
      <protection hidden="1"/>
    </xf>
    <xf numFmtId="0" fontId="26" fillId="16" borderId="7" xfId="379" applyFont="1" applyFill="1" applyBorder="1" applyAlignment="1" applyProtection="1">
      <alignment horizontal="center" vertical="top" wrapText="1"/>
      <protection hidden="1"/>
    </xf>
    <xf numFmtId="0" fontId="26" fillId="16" borderId="8" xfId="379" applyFont="1" applyFill="1" applyBorder="1" applyAlignment="1" applyProtection="1">
      <alignment horizontal="center" vertical="top" wrapText="1"/>
      <protection hidden="1"/>
    </xf>
    <xf numFmtId="0" fontId="26" fillId="16" borderId="9" xfId="379" applyFont="1" applyFill="1" applyBorder="1" applyAlignment="1" applyProtection="1">
      <alignment horizontal="center" vertical="top" wrapText="1"/>
      <protection hidden="1"/>
    </xf>
    <xf numFmtId="0" fontId="24" fillId="16" borderId="2" xfId="380" applyFont="1" applyFill="1" applyBorder="1" applyAlignment="1" applyProtection="1">
      <alignment horizontal="center" vertical="center" wrapText="1"/>
      <protection hidden="1"/>
    </xf>
    <xf numFmtId="0" fontId="24" fillId="16" borderId="3" xfId="380" applyFont="1" applyFill="1" applyBorder="1" applyAlignment="1" applyProtection="1">
      <alignment horizontal="center" vertical="center" wrapText="1"/>
      <protection hidden="1"/>
    </xf>
    <xf numFmtId="0" fontId="24" fillId="16" borderId="4" xfId="380" applyFont="1" applyFill="1" applyBorder="1" applyAlignment="1" applyProtection="1">
      <alignment horizontal="center" vertical="center" wrapText="1"/>
      <protection hidden="1"/>
    </xf>
    <xf numFmtId="0" fontId="24" fillId="16" borderId="5" xfId="380" applyFont="1" applyFill="1" applyBorder="1" applyAlignment="1" applyProtection="1">
      <alignment horizontal="center" vertical="center" wrapText="1"/>
      <protection hidden="1"/>
    </xf>
    <xf numFmtId="0" fontId="24" fillId="16" borderId="0" xfId="380" applyFont="1" applyFill="1" applyBorder="1" applyAlignment="1" applyProtection="1">
      <alignment horizontal="center" vertical="center" wrapText="1"/>
      <protection hidden="1"/>
    </xf>
    <xf numFmtId="0" fontId="24" fillId="16" borderId="6" xfId="380" applyFont="1" applyFill="1" applyBorder="1" applyAlignment="1" applyProtection="1">
      <alignment horizontal="center" vertical="center" wrapText="1"/>
      <protection hidden="1"/>
    </xf>
    <xf numFmtId="0" fontId="21" fillId="16" borderId="0" xfId="380" applyFont="1" applyFill="1" applyAlignment="1" applyProtection="1">
      <alignment horizontal="center" vertical="center" wrapText="1"/>
      <protection hidden="1"/>
    </xf>
    <xf numFmtId="0" fontId="24" fillId="16" borderId="5" xfId="380" applyFont="1" applyFill="1" applyBorder="1" applyAlignment="1" applyProtection="1">
      <alignment horizontal="center" vertical="top" wrapText="1"/>
      <protection hidden="1"/>
    </xf>
    <xf numFmtId="0" fontId="24" fillId="16" borderId="0" xfId="380" applyFont="1" applyFill="1" applyBorder="1" applyAlignment="1" applyProtection="1">
      <alignment horizontal="center" vertical="top" wrapText="1"/>
      <protection hidden="1"/>
    </xf>
    <xf numFmtId="0" fontId="24" fillId="16" borderId="6" xfId="380" applyFont="1" applyFill="1" applyBorder="1" applyAlignment="1" applyProtection="1">
      <alignment horizontal="center" vertical="top" wrapText="1"/>
      <protection hidden="1"/>
    </xf>
    <xf numFmtId="0" fontId="26" fillId="16" borderId="5" xfId="379" applyFont="1" applyFill="1" applyBorder="1" applyAlignment="1" applyProtection="1">
      <alignment horizontal="center" vertical="top" wrapText="1"/>
      <protection hidden="1"/>
    </xf>
    <xf numFmtId="0" fontId="26" fillId="16" borderId="0" xfId="379" applyFont="1" applyFill="1" applyBorder="1" applyAlignment="1" applyProtection="1">
      <alignment horizontal="center" vertical="top" wrapText="1"/>
      <protection hidden="1"/>
    </xf>
    <xf numFmtId="0" fontId="26" fillId="16" borderId="6" xfId="379" applyFont="1" applyFill="1" applyBorder="1" applyAlignment="1" applyProtection="1">
      <alignment horizontal="center" vertical="top" wrapText="1"/>
      <protection hidden="1"/>
    </xf>
    <xf numFmtId="0" fontId="24" fillId="10" borderId="7" xfId="380" applyFont="1" applyFill="1" applyBorder="1" applyAlignment="1" applyProtection="1">
      <alignment horizontal="left" vertical="top" wrapText="1"/>
      <protection hidden="1"/>
    </xf>
    <xf numFmtId="0" fontId="24" fillId="10" borderId="8" xfId="380" applyFont="1" applyFill="1" applyBorder="1" applyAlignment="1" applyProtection="1">
      <alignment horizontal="left" vertical="top" wrapText="1"/>
      <protection hidden="1"/>
    </xf>
    <xf numFmtId="0" fontId="24" fillId="10" borderId="9" xfId="380" applyFont="1" applyFill="1" applyBorder="1" applyAlignment="1" applyProtection="1">
      <alignment horizontal="left" vertical="top" wrapText="1"/>
      <protection hidden="1"/>
    </xf>
    <xf numFmtId="0" fontId="2" fillId="17" borderId="5" xfId="0" applyFont="1" applyFill="1" applyBorder="1" applyAlignment="1">
      <alignment horizontal="left" vertical="top" wrapText="1"/>
    </xf>
    <xf numFmtId="0" fontId="2" fillId="17" borderId="0" xfId="0" applyFont="1" applyFill="1" applyBorder="1" applyAlignment="1">
      <alignment horizontal="left" vertical="top" wrapText="1"/>
    </xf>
    <xf numFmtId="0" fontId="2" fillId="17" borderId="6" xfId="0" applyFont="1" applyFill="1" applyBorder="1" applyAlignment="1">
      <alignment horizontal="left" vertical="top" wrapText="1"/>
    </xf>
    <xf numFmtId="0" fontId="2" fillId="17" borderId="7" xfId="0" applyFont="1" applyFill="1" applyBorder="1" applyAlignment="1">
      <alignment horizontal="left" vertical="top" wrapText="1"/>
    </xf>
    <xf numFmtId="0" fontId="2" fillId="17" borderId="8" xfId="0" applyFont="1" applyFill="1" applyBorder="1" applyAlignment="1">
      <alignment horizontal="left" vertical="top" wrapText="1"/>
    </xf>
    <xf numFmtId="0" fontId="2" fillId="17" borderId="9" xfId="0" applyFont="1" applyFill="1" applyBorder="1" applyAlignment="1">
      <alignment horizontal="left" vertical="top" wrapText="1"/>
    </xf>
    <xf numFmtId="0" fontId="7" fillId="13" borderId="10" xfId="380" applyFont="1" applyFill="1" applyBorder="1" applyAlignment="1" applyProtection="1">
      <alignment horizontal="left" vertical="top"/>
    </xf>
    <xf numFmtId="0" fontId="7" fillId="13" borderId="11" xfId="380" applyFont="1" applyFill="1" applyBorder="1" applyAlignment="1" applyProtection="1">
      <alignment horizontal="left" vertical="top"/>
    </xf>
    <xf numFmtId="0" fontId="7" fillId="13" borderId="12" xfId="380" applyFont="1" applyFill="1" applyBorder="1" applyAlignment="1" applyProtection="1">
      <alignment horizontal="left" vertical="top"/>
    </xf>
    <xf numFmtId="0" fontId="5" fillId="16" borderId="5" xfId="0" applyFont="1" applyFill="1" applyBorder="1" applyAlignment="1" applyProtection="1">
      <alignment horizontal="left" vertical="top" wrapText="1"/>
    </xf>
    <xf numFmtId="0" fontId="5" fillId="16" borderId="0" xfId="0" applyFont="1" applyFill="1" applyBorder="1" applyAlignment="1" applyProtection="1">
      <alignment horizontal="left" vertical="top" wrapText="1"/>
    </xf>
    <xf numFmtId="0" fontId="5" fillId="16" borderId="6" xfId="0" applyFont="1" applyFill="1" applyBorder="1" applyAlignment="1" applyProtection="1">
      <alignment horizontal="left" vertical="top" wrapText="1"/>
    </xf>
    <xf numFmtId="0" fontId="5" fillId="16" borderId="7" xfId="0" applyFont="1" applyFill="1" applyBorder="1" applyAlignment="1" applyProtection="1">
      <alignment horizontal="left" vertical="top" wrapText="1"/>
    </xf>
    <xf numFmtId="0" fontId="5" fillId="16" borderId="8" xfId="0" applyFont="1" applyFill="1" applyBorder="1" applyAlignment="1" applyProtection="1">
      <alignment horizontal="left" vertical="top" wrapText="1"/>
    </xf>
    <xf numFmtId="0" fontId="5" fillId="16" borderId="9" xfId="0" applyFont="1" applyFill="1" applyBorder="1" applyAlignment="1" applyProtection="1">
      <alignment horizontal="left" vertical="top" wrapText="1"/>
    </xf>
    <xf numFmtId="0" fontId="7" fillId="13" borderId="2" xfId="380" applyFont="1" applyFill="1" applyBorder="1" applyAlignment="1" applyProtection="1">
      <alignment horizontal="left" vertical="top"/>
    </xf>
    <xf numFmtId="0" fontId="7" fillId="13" borderId="3" xfId="380" applyFont="1" applyFill="1" applyBorder="1" applyAlignment="1" applyProtection="1">
      <alignment horizontal="left" vertical="top"/>
    </xf>
    <xf numFmtId="0" fontId="7" fillId="13" borderId="4" xfId="380" applyFont="1" applyFill="1" applyBorder="1" applyAlignment="1" applyProtection="1">
      <alignment horizontal="left" vertical="top"/>
    </xf>
    <xf numFmtId="0" fontId="1" fillId="16" borderId="0" xfId="0" applyFont="1" applyFill="1" applyBorder="1" applyAlignment="1">
      <alignment horizontal="center" vertical="center" wrapText="1"/>
    </xf>
    <xf numFmtId="0" fontId="19" fillId="16" borderId="0" xfId="0" applyFont="1" applyFill="1" applyAlignment="1">
      <alignment horizontal="center" wrapText="1"/>
    </xf>
  </cellXfs>
  <cellStyles count="79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cellStyle name="Normal" xfId="0" builtinId="0"/>
    <cellStyle name="Normal 2" xfId="380" xr:uid="{00000000-0005-0000-0000-00001D030000}"/>
  </cellStyles>
  <dxfs count="53">
    <dxf>
      <font>
        <color theme="1"/>
      </font>
      <fill>
        <patternFill patternType="solid">
          <fgColor indexed="64"/>
          <bgColor theme="5" tint="0.39997558519241921"/>
        </patternFill>
      </fill>
    </dxf>
    <dxf>
      <font>
        <color theme="1"/>
      </font>
      <fill>
        <patternFill patternType="solid">
          <fgColor indexed="64"/>
          <bgColor theme="3" tint="0.79998168889431442"/>
        </patternFill>
      </fill>
    </dxf>
    <dxf>
      <font>
        <color theme="1"/>
      </font>
      <fill>
        <patternFill patternType="solid">
          <fgColor indexed="64"/>
          <bgColor theme="5" tint="0.3999755851924192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b val="0"/>
        <i val="0"/>
        <color theme="1" tint="0.499984740745262"/>
      </font>
      <fill>
        <patternFill patternType="none">
          <fgColor indexed="64"/>
          <bgColor auto="1"/>
        </patternFill>
      </fill>
    </dxf>
    <dxf>
      <font>
        <color theme="0" tint="-4.9989318521683403E-2"/>
      </font>
      <fill>
        <patternFill patternType="solid">
          <fgColor indexed="64"/>
          <bgColor theme="0" tint="-4.9989318521683403E-2"/>
        </patternFill>
      </fill>
      <border>
        <left/>
        <right/>
        <top/>
        <bottom/>
      </border>
    </dxf>
    <dxf>
      <font>
        <color theme="0" tint="-4.9989318521683403E-2"/>
      </font>
      <fill>
        <patternFill patternType="solid">
          <fgColor indexed="64"/>
          <bgColor theme="0" tint="-4.9989318521683403E-2"/>
        </patternFill>
      </fill>
      <border>
        <left/>
        <right/>
        <top/>
        <bottom/>
      </border>
    </dxf>
    <dxf>
      <font>
        <color theme="0" tint="-4.9989318521683403E-2"/>
      </font>
      <fill>
        <patternFill patternType="solid">
          <fgColor indexed="64"/>
          <bgColor theme="0" tint="-4.9989318521683403E-2"/>
        </patternFill>
      </fill>
      <border>
        <left/>
        <right/>
        <top/>
        <bottom/>
      </border>
    </dxf>
    <dxf>
      <font>
        <color theme="0" tint="-4.9989318521683403E-2"/>
      </font>
      <fill>
        <patternFill patternType="solid">
          <fgColor indexed="64"/>
          <bgColor theme="0" tint="-4.9989318521683403E-2"/>
        </patternFill>
      </fill>
      <border>
        <left/>
        <right/>
        <top/>
        <bottom/>
      </border>
    </dxf>
    <dxf>
      <font>
        <color rgb="FF008000"/>
      </font>
      <fill>
        <patternFill patternType="solid">
          <fgColor indexed="64"/>
          <bgColor theme="0" tint="-0.14999847407452621"/>
        </patternFill>
      </fill>
    </dxf>
    <dxf>
      <font>
        <color theme="0" tint="-0.499984740745262"/>
      </font>
      <fill>
        <patternFill patternType="solid">
          <fgColor indexed="64"/>
          <bgColor theme="7" tint="0.59999389629810485"/>
        </patternFill>
      </fill>
    </dxf>
    <dxf>
      <font>
        <color theme="0" tint="-0.499984740745262"/>
      </font>
      <fill>
        <patternFill patternType="solid">
          <fgColor indexed="64"/>
          <bgColor theme="7" tint="0.59999389629810485"/>
        </patternFill>
      </fill>
    </dxf>
    <dxf>
      <font>
        <color rgb="FF9C0006"/>
      </font>
      <fill>
        <patternFill patternType="solid">
          <fgColor indexed="64"/>
          <bgColor theme="0" tint="-0.14999847407452621"/>
        </patternFill>
      </fill>
    </dxf>
    <dxf>
      <font>
        <color theme="0" tint="-0.499984740745262"/>
      </font>
      <fill>
        <patternFill patternType="solid">
          <fgColor indexed="64"/>
          <bgColor theme="7" tint="0.59999389629810485"/>
        </patternFill>
      </fill>
    </dxf>
    <dxf>
      <font>
        <color theme="0" tint="-0.499984740745262"/>
      </font>
      <fill>
        <patternFill patternType="none">
          <fgColor indexed="64"/>
          <bgColor auto="1"/>
        </patternFill>
      </fill>
    </dxf>
    <dxf>
      <font>
        <color theme="0" tint="-0.499984740745262"/>
      </font>
      <fill>
        <patternFill patternType="none">
          <fgColor indexed="64"/>
          <bgColor auto="1"/>
        </patternFill>
      </fill>
    </dxf>
    <dxf>
      <font>
        <b val="0"/>
        <i val="0"/>
        <color theme="1" tint="0.499984740745262"/>
      </font>
      <fill>
        <patternFill patternType="none">
          <fgColor indexed="64"/>
          <bgColor auto="1"/>
        </patternFill>
      </fill>
    </dxf>
    <dxf>
      <font>
        <color rgb="FF9C0006"/>
      </font>
      <fill>
        <patternFill patternType="solid">
          <fgColor indexed="64"/>
          <bgColor theme="0" tint="-0.14999847407452621"/>
        </patternFill>
      </fill>
    </dxf>
    <dxf>
      <font>
        <color rgb="FF008000"/>
      </font>
      <fill>
        <patternFill patternType="solid">
          <fgColor indexed="64"/>
          <bgColor theme="0" tint="-0.14999847407452621"/>
        </patternFill>
      </fill>
    </dxf>
    <dxf>
      <font>
        <color theme="1"/>
      </font>
      <fill>
        <patternFill patternType="solid">
          <fgColor indexed="64"/>
          <bgColor theme="2" tint="-9.9978637043366805E-2"/>
        </patternFill>
      </fill>
    </dxf>
    <dxf>
      <font>
        <color theme="1"/>
      </font>
      <fill>
        <patternFill patternType="solid">
          <fgColor indexed="64"/>
          <bgColor theme="6" tint="0.39997558519241921"/>
        </patternFill>
      </fill>
    </dxf>
    <dxf>
      <font>
        <color theme="1"/>
      </font>
      <fill>
        <patternFill patternType="solid">
          <fgColor indexed="64"/>
          <bgColor theme="6" tint="0.79998168889431442"/>
        </patternFill>
      </fill>
    </dxf>
    <dxf>
      <font>
        <color theme="1"/>
      </font>
      <fill>
        <patternFill patternType="solid">
          <fgColor indexed="64"/>
          <bgColor theme="5" tint="0.39997558519241921"/>
        </patternFill>
      </fill>
    </dxf>
    <dxf>
      <font>
        <color theme="1"/>
      </font>
      <fill>
        <patternFill patternType="solid">
          <fgColor indexed="64"/>
          <bgColor theme="6" tint="0.59999389629810485"/>
        </patternFill>
      </fill>
    </dxf>
    <dxf>
      <font>
        <color theme="1"/>
      </font>
      <fill>
        <patternFill patternType="solid">
          <fgColor indexed="64"/>
          <bgColor theme="5" tint="0.79998168889431442"/>
        </patternFill>
      </fill>
    </dxf>
    <dxf>
      <font>
        <color theme="1"/>
      </font>
      <fill>
        <patternFill patternType="solid">
          <fgColor indexed="64"/>
          <bgColor theme="0" tint="-4.9989318521683403E-2"/>
        </patternFill>
      </fill>
    </dxf>
    <dxf>
      <font>
        <color theme="0" tint="-4.9989318521683403E-2"/>
      </font>
      <fill>
        <patternFill patternType="solid">
          <fgColor indexed="64"/>
          <bgColor theme="0" tint="-4.9989318521683403E-2"/>
        </patternFill>
      </fill>
      <border>
        <left/>
        <right/>
        <top/>
        <bottom/>
      </border>
    </dxf>
    <dxf>
      <font>
        <color rgb="FF008000"/>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008000"/>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008000"/>
      </font>
      <fill>
        <patternFill patternType="solid">
          <fgColor indexed="64"/>
          <bgColor theme="0" tint="-0.14999847407452621"/>
        </patternFill>
      </fill>
    </dxf>
    <dxf>
      <font>
        <color theme="5" tint="-0.249977111117893"/>
      </font>
      <fill>
        <patternFill patternType="solid">
          <fgColor indexed="64"/>
          <bgColor theme="0" tint="-0.14999847407452621"/>
        </patternFill>
      </fill>
    </dxf>
    <dxf>
      <font>
        <color rgb="FF9C0006"/>
      </font>
      <fill>
        <patternFill patternType="solid">
          <fgColor indexed="64"/>
          <bgColor theme="0" tint="-0.14999847407452621"/>
        </patternFill>
      </fill>
    </dxf>
    <dxf>
      <font>
        <b val="0"/>
        <i val="0"/>
        <strike val="0"/>
        <color rgb="FF008000"/>
      </font>
      <fill>
        <patternFill patternType="solid">
          <fgColor indexed="64"/>
          <bgColor theme="0" tint="-0.14999847407452621"/>
        </patternFill>
      </fill>
      <border>
        <left/>
        <right/>
        <top/>
        <bottom/>
      </border>
    </dxf>
    <dxf>
      <font>
        <color theme="0" tint="-4.9989318521683403E-2"/>
      </font>
      <fill>
        <patternFill patternType="solid">
          <fgColor indexed="64"/>
          <bgColor theme="0" tint="-4.9989318521683403E-2"/>
        </patternFill>
      </fill>
      <border>
        <left/>
        <right/>
        <top style="thin">
          <color auto="1"/>
        </top>
        <bottom/>
      </border>
    </dxf>
    <dxf>
      <font>
        <color theme="0" tint="-4.9989318521683403E-2"/>
      </font>
      <fill>
        <patternFill patternType="solid">
          <fgColor indexed="64"/>
          <bgColor theme="0" tint="-4.9989318521683403E-2"/>
        </patternFill>
      </fill>
      <border>
        <left/>
        <right/>
        <top style="thin">
          <color auto="1"/>
        </top>
        <bottom/>
      </border>
    </dxf>
    <dxf>
      <font>
        <color theme="1"/>
      </font>
      <fill>
        <patternFill patternType="solid">
          <fgColor indexed="64"/>
          <bgColor theme="7" tint="0.59999389629810485"/>
        </patternFill>
      </fill>
    </dxf>
    <dxf>
      <font>
        <b val="0"/>
        <i val="0"/>
        <color theme="0" tint="-0.499984740745262"/>
      </font>
      <fill>
        <patternFill patternType="solid">
          <fgColor indexed="64"/>
          <bgColor theme="0" tint="-0.14999847407452621"/>
        </patternFill>
      </fill>
    </dxf>
    <dxf>
      <font>
        <color theme="1"/>
      </font>
      <fill>
        <patternFill patternType="solid">
          <fgColor indexed="64"/>
          <bgColor theme="6" tint="0.59999389629810485"/>
        </patternFill>
      </fill>
    </dxf>
    <dxf>
      <font>
        <color theme="0" tint="-0.499984740745262"/>
      </font>
      <fill>
        <patternFill patternType="none">
          <fgColor indexed="64"/>
          <bgColor auto="1"/>
        </patternFill>
      </fill>
    </dxf>
    <dxf>
      <font>
        <color theme="1"/>
      </font>
      <fill>
        <patternFill patternType="solid">
          <fgColor indexed="64"/>
          <bgColor theme="5" tint="0.59999389629810485"/>
        </patternFill>
      </fill>
    </dxf>
  </dxfs>
  <tableStyles count="0" defaultTableStyle="TableStyleMedium9" defaultPivotStyle="PivotStyleMedium4"/>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alculations!$G$65" lockText="1" noThreeD="1"/>
</file>

<file path=xl/ctrlProps/ctrlProp10.xml><?xml version="1.0" encoding="utf-8"?>
<formControlPr xmlns="http://schemas.microsoft.com/office/spreadsheetml/2009/9/main" objectType="CheckBox" fmlaLink="Calculations!$P$65" lockText="1" noThreeD="1"/>
</file>

<file path=xl/ctrlProps/ctrlProp11.xml><?xml version="1.0" encoding="utf-8"?>
<formControlPr xmlns="http://schemas.microsoft.com/office/spreadsheetml/2009/9/main" objectType="CheckBox" fmlaLink="Calculations!$Q$65" lockText="1" noThreeD="1"/>
</file>

<file path=xl/ctrlProps/ctrlProp12.xml><?xml version="1.0" encoding="utf-8"?>
<formControlPr xmlns="http://schemas.microsoft.com/office/spreadsheetml/2009/9/main" objectType="CheckBox" fmlaLink="Calculations!$R$65" lockText="1" noThreeD="1"/>
</file>

<file path=xl/ctrlProps/ctrlProp2.xml><?xml version="1.0" encoding="utf-8"?>
<formControlPr xmlns="http://schemas.microsoft.com/office/spreadsheetml/2009/9/main" objectType="CheckBox" fmlaLink="Calculations!$H$65" lockText="1" noThreeD="1"/>
</file>

<file path=xl/ctrlProps/ctrlProp3.xml><?xml version="1.0" encoding="utf-8"?>
<formControlPr xmlns="http://schemas.microsoft.com/office/spreadsheetml/2009/9/main" objectType="CheckBox" fmlaLink="Calculations!$I$65" lockText="1" noThreeD="1"/>
</file>

<file path=xl/ctrlProps/ctrlProp4.xml><?xml version="1.0" encoding="utf-8"?>
<formControlPr xmlns="http://schemas.microsoft.com/office/spreadsheetml/2009/9/main" objectType="CheckBox" fmlaLink="Calculations!$J$65" lockText="1" noThreeD="1"/>
</file>

<file path=xl/ctrlProps/ctrlProp5.xml><?xml version="1.0" encoding="utf-8"?>
<formControlPr xmlns="http://schemas.microsoft.com/office/spreadsheetml/2009/9/main" objectType="CheckBox" fmlaLink="Calculations!$K$65" lockText="1" noThreeD="1"/>
</file>

<file path=xl/ctrlProps/ctrlProp6.xml><?xml version="1.0" encoding="utf-8"?>
<formControlPr xmlns="http://schemas.microsoft.com/office/spreadsheetml/2009/9/main" objectType="CheckBox" fmlaLink="Calculations!$L$65" lockText="1" noThreeD="1"/>
</file>

<file path=xl/ctrlProps/ctrlProp7.xml><?xml version="1.0" encoding="utf-8"?>
<formControlPr xmlns="http://schemas.microsoft.com/office/spreadsheetml/2009/9/main" objectType="CheckBox" fmlaLink="Calculations!$M$65" lockText="1" noThreeD="1"/>
</file>

<file path=xl/ctrlProps/ctrlProp8.xml><?xml version="1.0" encoding="utf-8"?>
<formControlPr xmlns="http://schemas.microsoft.com/office/spreadsheetml/2009/9/main" objectType="CheckBox" fmlaLink="Calculations!$N$65" lockText="1" noThreeD="1"/>
</file>

<file path=xl/ctrlProps/ctrlProp9.xml><?xml version="1.0" encoding="utf-8"?>
<formControlPr xmlns="http://schemas.microsoft.com/office/spreadsheetml/2009/9/main" objectType="CheckBox" fmlaLink="Calculations!$O$65"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d-lab.mit.edu/off-grid-energy" TargetMode="External"/><Relationship Id="rId2" Type="http://schemas.openxmlformats.org/officeDocument/2006/relationships/image" Target="../media/image1.png"/><Relationship Id="rId1" Type="http://schemas.openxmlformats.org/officeDocument/2006/relationships/hyperlink" Target="http://creativecommons.org/licenses/by-sa/4.0/"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139700</xdr:colOff>
          <xdr:row>25</xdr:row>
          <xdr:rowOff>88900</xdr:rowOff>
        </xdr:from>
        <xdr:to>
          <xdr:col>6</xdr:col>
          <xdr:colOff>762000</xdr:colOff>
          <xdr:row>25</xdr:row>
          <xdr:rowOff>825500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25</xdr:row>
          <xdr:rowOff>88900</xdr:rowOff>
        </xdr:from>
        <xdr:to>
          <xdr:col>7</xdr:col>
          <xdr:colOff>762000</xdr:colOff>
          <xdr:row>25</xdr:row>
          <xdr:rowOff>825500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25</xdr:row>
          <xdr:rowOff>88900</xdr:rowOff>
        </xdr:from>
        <xdr:to>
          <xdr:col>8</xdr:col>
          <xdr:colOff>762000</xdr:colOff>
          <xdr:row>25</xdr:row>
          <xdr:rowOff>825500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25</xdr:row>
          <xdr:rowOff>88900</xdr:rowOff>
        </xdr:from>
        <xdr:to>
          <xdr:col>9</xdr:col>
          <xdr:colOff>762000</xdr:colOff>
          <xdr:row>25</xdr:row>
          <xdr:rowOff>825500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25</xdr:row>
          <xdr:rowOff>88900</xdr:rowOff>
        </xdr:from>
        <xdr:to>
          <xdr:col>10</xdr:col>
          <xdr:colOff>762000</xdr:colOff>
          <xdr:row>25</xdr:row>
          <xdr:rowOff>825500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25</xdr:row>
          <xdr:rowOff>88900</xdr:rowOff>
        </xdr:from>
        <xdr:to>
          <xdr:col>11</xdr:col>
          <xdr:colOff>762000</xdr:colOff>
          <xdr:row>25</xdr:row>
          <xdr:rowOff>825500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25</xdr:row>
          <xdr:rowOff>88900</xdr:rowOff>
        </xdr:from>
        <xdr:to>
          <xdr:col>12</xdr:col>
          <xdr:colOff>762000</xdr:colOff>
          <xdr:row>25</xdr:row>
          <xdr:rowOff>825500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25</xdr:row>
          <xdr:rowOff>88900</xdr:rowOff>
        </xdr:from>
        <xdr:to>
          <xdr:col>13</xdr:col>
          <xdr:colOff>762000</xdr:colOff>
          <xdr:row>25</xdr:row>
          <xdr:rowOff>825500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25</xdr:row>
          <xdr:rowOff>88900</xdr:rowOff>
        </xdr:from>
        <xdr:to>
          <xdr:col>14</xdr:col>
          <xdr:colOff>762000</xdr:colOff>
          <xdr:row>25</xdr:row>
          <xdr:rowOff>825500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139700</xdr:colOff>
          <xdr:row>25</xdr:row>
          <xdr:rowOff>88900</xdr:rowOff>
        </xdr:from>
        <xdr:to>
          <xdr:col>15</xdr:col>
          <xdr:colOff>762000</xdr:colOff>
          <xdr:row>25</xdr:row>
          <xdr:rowOff>825500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139700</xdr:colOff>
          <xdr:row>25</xdr:row>
          <xdr:rowOff>88900</xdr:rowOff>
        </xdr:from>
        <xdr:to>
          <xdr:col>16</xdr:col>
          <xdr:colOff>762000</xdr:colOff>
          <xdr:row>25</xdr:row>
          <xdr:rowOff>825500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25</xdr:row>
          <xdr:rowOff>88900</xdr:rowOff>
        </xdr:from>
        <xdr:to>
          <xdr:col>17</xdr:col>
          <xdr:colOff>762000</xdr:colOff>
          <xdr:row>25</xdr:row>
          <xdr:rowOff>825500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Yes</a:t>
              </a:r>
            </a:p>
          </xdr:txBody>
        </xdr:sp>
        <xdr:clientData/>
      </xdr:twoCellAnchor>
    </mc:Choice>
    <mc:Fallback/>
  </mc:AlternateContent>
  <xdr:twoCellAnchor editAs="oneCell">
    <xdr:from>
      <xdr:col>13</xdr:col>
      <xdr:colOff>475670</xdr:colOff>
      <xdr:row>1</xdr:row>
      <xdr:rowOff>1155</xdr:rowOff>
    </xdr:from>
    <xdr:to>
      <xdr:col>14</xdr:col>
      <xdr:colOff>751514</xdr:colOff>
      <xdr:row>2</xdr:row>
      <xdr:rowOff>187732</xdr:rowOff>
    </xdr:to>
    <xdr:pic>
      <xdr:nvPicPr>
        <xdr:cNvPr id="17" name="Picture 16">
          <a:hlinkClick xmlns:r="http://schemas.openxmlformats.org/officeDocument/2006/relationships" r:id="rId1"/>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stretch>
          <a:fillRect/>
        </a:stretch>
      </xdr:blipFill>
      <xdr:spPr>
        <a:xfrm>
          <a:off x="11005125" y="197428"/>
          <a:ext cx="1118662" cy="378231"/>
        </a:xfrm>
        <a:prstGeom prst="rect">
          <a:avLst/>
        </a:prstGeom>
      </xdr:spPr>
    </xdr:pic>
    <xdr:clientData/>
  </xdr:twoCellAnchor>
  <xdr:twoCellAnchor editAs="oneCell">
    <xdr:from>
      <xdr:col>1</xdr:col>
      <xdr:colOff>427180</xdr:colOff>
      <xdr:row>0</xdr:row>
      <xdr:rowOff>176645</xdr:rowOff>
    </xdr:from>
    <xdr:to>
      <xdr:col>2</xdr:col>
      <xdr:colOff>693879</xdr:colOff>
      <xdr:row>3</xdr:row>
      <xdr:rowOff>2380</xdr:rowOff>
    </xdr:to>
    <xdr:pic>
      <xdr:nvPicPr>
        <xdr:cNvPr id="18" name="Picture 17">
          <a:hlinkClick xmlns:r="http://schemas.openxmlformats.org/officeDocument/2006/relationships" r:id="rId3"/>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4"/>
        <a:stretch>
          <a:fillRect/>
        </a:stretch>
      </xdr:blipFill>
      <xdr:spPr>
        <a:xfrm>
          <a:off x="842816" y="176645"/>
          <a:ext cx="1109518" cy="404162"/>
        </a:xfrm>
        <a:prstGeom prst="rect">
          <a:avLst/>
        </a:prstGeom>
      </xdr:spPr>
    </xdr:pic>
    <xdr:clientData/>
  </xdr:twoCellAnchor>
  <xdr:twoCellAnchor editAs="oneCell">
    <xdr:from>
      <xdr:col>13</xdr:col>
      <xdr:colOff>406400</xdr:colOff>
      <xdr:row>130</xdr:row>
      <xdr:rowOff>12700</xdr:rowOff>
    </xdr:from>
    <xdr:to>
      <xdr:col>14</xdr:col>
      <xdr:colOff>682244</xdr:colOff>
      <xdr:row>132</xdr:row>
      <xdr:rowOff>8778</xdr:rowOff>
    </xdr:to>
    <xdr:pic>
      <xdr:nvPicPr>
        <xdr:cNvPr id="16" name="Picture 15">
          <a:hlinkClick xmlns:r="http://schemas.openxmlformats.org/officeDocument/2006/relationships" r:id="rId1"/>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stretch>
          <a:fillRect/>
        </a:stretch>
      </xdr:blipFill>
      <xdr:spPr>
        <a:xfrm>
          <a:off x="10858500" y="203200"/>
          <a:ext cx="1114044" cy="377077"/>
        </a:xfrm>
        <a:prstGeom prst="rect">
          <a:avLst/>
        </a:prstGeom>
      </xdr:spPr>
    </xdr:pic>
    <xdr:clientData/>
  </xdr:twoCellAnchor>
  <xdr:twoCellAnchor editAs="oneCell">
    <xdr:from>
      <xdr:col>1</xdr:col>
      <xdr:colOff>381000</xdr:colOff>
      <xdr:row>129</xdr:row>
      <xdr:rowOff>165100</xdr:rowOff>
    </xdr:from>
    <xdr:to>
      <xdr:col>2</xdr:col>
      <xdr:colOff>647699</xdr:colOff>
      <xdr:row>131</xdr:row>
      <xdr:rowOff>181336</xdr:rowOff>
    </xdr:to>
    <xdr:pic>
      <xdr:nvPicPr>
        <xdr:cNvPr id="19" name="Picture 18">
          <a:hlinkClick xmlns:r="http://schemas.openxmlformats.org/officeDocument/2006/relationships" r:id="rId3"/>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stretch>
          <a:fillRect/>
        </a:stretch>
      </xdr:blipFill>
      <xdr:spPr>
        <a:xfrm>
          <a:off x="774700" y="165100"/>
          <a:ext cx="1104899" cy="3972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hanschen.org/koppen/" TargetMode="External"/><Relationship Id="rId21" Type="http://schemas.openxmlformats.org/officeDocument/2006/relationships/hyperlink" Target="http://d-lab.mit.edu/resources/projects/evaporative-cooling/weather" TargetMode="External"/><Relationship Id="rId42" Type="http://schemas.openxmlformats.org/officeDocument/2006/relationships/hyperlink" Target="http://cite.mit.edu/vegetable-cooling-and-storage-evaluation" TargetMode="External"/><Relationship Id="rId47" Type="http://schemas.openxmlformats.org/officeDocument/2006/relationships/hyperlink" Target="http://d-lab.mit.edu/off-grid-energy/" TargetMode="External"/><Relationship Id="rId63" Type="http://schemas.openxmlformats.org/officeDocument/2006/relationships/hyperlink" Target="http://d-lab.mit.edu/off-grid-energy/" TargetMode="External"/><Relationship Id="rId68" Type="http://schemas.openxmlformats.org/officeDocument/2006/relationships/hyperlink" Target="http://d-lab.mit.edu/resources/projects/Evaporative-Cooling-Best-Practices-Guide" TargetMode="External"/><Relationship Id="rId16" Type="http://schemas.openxmlformats.org/officeDocument/2006/relationships/hyperlink" Target="http://creativecommons.org/licenses/by-sa/4.0/" TargetMode="External"/><Relationship Id="rId11" Type="http://schemas.openxmlformats.org/officeDocument/2006/relationships/hyperlink" Target="http://creativecommons.org/licenses/by-sa/4.0/" TargetMode="External"/><Relationship Id="rId32" Type="http://schemas.openxmlformats.org/officeDocument/2006/relationships/hyperlink" Target="http://www.weatherbase.com/weather/countryall.php3" TargetMode="External"/><Relationship Id="rId37" Type="http://schemas.openxmlformats.org/officeDocument/2006/relationships/hyperlink" Target="http://www.weatherbase.com/weather/countryall.php3" TargetMode="External"/><Relationship Id="rId53" Type="http://schemas.openxmlformats.org/officeDocument/2006/relationships/hyperlink" Target="http://d-lab.mit.edu/resources/projects/Evaporative-Cooling-Evaluation-Report" TargetMode="External"/><Relationship Id="rId58" Type="http://schemas.openxmlformats.org/officeDocument/2006/relationships/hyperlink" Target="http://cite.mit.edu/vegetable-cooling-and-storage-evaluation" TargetMode="External"/><Relationship Id="rId74" Type="http://schemas.openxmlformats.org/officeDocument/2006/relationships/ctrlProp" Target="../ctrlProps/ctrlProp4.xml"/><Relationship Id="rId79" Type="http://schemas.openxmlformats.org/officeDocument/2006/relationships/ctrlProp" Target="../ctrlProps/ctrlProp9.xml"/><Relationship Id="rId5" Type="http://schemas.openxmlformats.org/officeDocument/2006/relationships/hyperlink" Target="http://creativecommons.org/licenses/by-sa/4.0/" TargetMode="External"/><Relationship Id="rId61" Type="http://schemas.openxmlformats.org/officeDocument/2006/relationships/hyperlink" Target="http://cite.mit.edu/vegetable-cooling-and-storage-evaluation" TargetMode="External"/><Relationship Id="rId82" Type="http://schemas.openxmlformats.org/officeDocument/2006/relationships/ctrlProp" Target="../ctrlProps/ctrlProp12.xml"/><Relationship Id="rId19" Type="http://schemas.openxmlformats.org/officeDocument/2006/relationships/hyperlink" Target="http://creativecommons.org/licenses/by-sa/4.0/" TargetMode="External"/><Relationship Id="rId14" Type="http://schemas.openxmlformats.org/officeDocument/2006/relationships/hyperlink" Target="http://creativecommons.org/licenses/by-sa/4.0/" TargetMode="External"/><Relationship Id="rId22" Type="http://schemas.openxmlformats.org/officeDocument/2006/relationships/hyperlink" Target="http://hanschen.org/koppen/" TargetMode="External"/><Relationship Id="rId27" Type="http://schemas.openxmlformats.org/officeDocument/2006/relationships/hyperlink" Target="http://hanschen.org/koppen/" TargetMode="External"/><Relationship Id="rId30" Type="http://schemas.openxmlformats.org/officeDocument/2006/relationships/hyperlink" Target="http://hanschen.org/koppen/" TargetMode="External"/><Relationship Id="rId35" Type="http://schemas.openxmlformats.org/officeDocument/2006/relationships/hyperlink" Target="http://www.weatherbase.com/weather/countryall.php3" TargetMode="External"/><Relationship Id="rId43" Type="http://schemas.openxmlformats.org/officeDocument/2006/relationships/hyperlink" Target="http://cite.mit.edu/vegetable-cooling-and-storage-evaluation" TargetMode="External"/><Relationship Id="rId48" Type="http://schemas.openxmlformats.org/officeDocument/2006/relationships/hyperlink" Target="http://d-lab.mit.edu/off-grid-energy/" TargetMode="External"/><Relationship Id="rId56" Type="http://schemas.openxmlformats.org/officeDocument/2006/relationships/hyperlink" Target="http://cite.mit.edu/vegetable-cooling-and-storage-evaluation" TargetMode="External"/><Relationship Id="rId64" Type="http://schemas.openxmlformats.org/officeDocument/2006/relationships/hyperlink" Target="http://d-lab.mit.edu/off-grid-energy/" TargetMode="External"/><Relationship Id="rId69" Type="http://schemas.openxmlformats.org/officeDocument/2006/relationships/drawing" Target="../drawings/drawing1.xml"/><Relationship Id="rId77" Type="http://schemas.openxmlformats.org/officeDocument/2006/relationships/ctrlProp" Target="../ctrlProps/ctrlProp7.xml"/><Relationship Id="rId8" Type="http://schemas.openxmlformats.org/officeDocument/2006/relationships/hyperlink" Target="http://creativecommons.org/licenses/by-sa/4.0/" TargetMode="External"/><Relationship Id="rId51" Type="http://schemas.openxmlformats.org/officeDocument/2006/relationships/hyperlink" Target="http://d-lab.mit.edu/resources/projects/evaporative-cooling/weather" TargetMode="External"/><Relationship Id="rId72" Type="http://schemas.openxmlformats.org/officeDocument/2006/relationships/ctrlProp" Target="../ctrlProps/ctrlProp2.xml"/><Relationship Id="rId80" Type="http://schemas.openxmlformats.org/officeDocument/2006/relationships/ctrlProp" Target="../ctrlProps/ctrlProp10.xml"/><Relationship Id="rId3" Type="http://schemas.openxmlformats.org/officeDocument/2006/relationships/hyperlink" Target="http://creativecommons.org/licenses/by-sa/4.0/" TargetMode="External"/><Relationship Id="rId12" Type="http://schemas.openxmlformats.org/officeDocument/2006/relationships/hyperlink" Target="http://creativecommons.org/licenses/by-sa/4.0/" TargetMode="External"/><Relationship Id="rId17" Type="http://schemas.openxmlformats.org/officeDocument/2006/relationships/hyperlink" Target="http://creativecommons.org/licenses/by-sa/4.0/" TargetMode="External"/><Relationship Id="rId25" Type="http://schemas.openxmlformats.org/officeDocument/2006/relationships/hyperlink" Target="http://hanschen.org/koppen/" TargetMode="External"/><Relationship Id="rId33" Type="http://schemas.openxmlformats.org/officeDocument/2006/relationships/hyperlink" Target="http://www.weatherbase.com/weather/countryall.php3" TargetMode="External"/><Relationship Id="rId38" Type="http://schemas.openxmlformats.org/officeDocument/2006/relationships/hyperlink" Target="http://www.weatherbase.com/weather/countryall.php3" TargetMode="External"/><Relationship Id="rId46" Type="http://schemas.openxmlformats.org/officeDocument/2006/relationships/hyperlink" Target="http://d-lab.mit.edu/off-grid-energy/" TargetMode="External"/><Relationship Id="rId59" Type="http://schemas.openxmlformats.org/officeDocument/2006/relationships/hyperlink" Target="http://cite.mit.edu/vegetable-cooling-and-storage-evaluation" TargetMode="External"/><Relationship Id="rId67" Type="http://schemas.openxmlformats.org/officeDocument/2006/relationships/hyperlink" Target="http://d-lab.mit.edu/research" TargetMode="External"/><Relationship Id="rId20" Type="http://schemas.openxmlformats.org/officeDocument/2006/relationships/hyperlink" Target="http://creativecommons.org/licenses/by-sa/4.0/" TargetMode="External"/><Relationship Id="rId41" Type="http://schemas.openxmlformats.org/officeDocument/2006/relationships/hyperlink" Target="http://cite.mit.edu/vegetable-cooling-and-storage-evaluation" TargetMode="External"/><Relationship Id="rId54" Type="http://schemas.openxmlformats.org/officeDocument/2006/relationships/hyperlink" Target="http://d-lab.mit.edu/resources/projects/Evaporative-Cooling-Best-Practices-Guide" TargetMode="External"/><Relationship Id="rId62" Type="http://schemas.openxmlformats.org/officeDocument/2006/relationships/hyperlink" Target="http://d-lab.mit.edu/off-grid-energy/" TargetMode="External"/><Relationship Id="rId70" Type="http://schemas.openxmlformats.org/officeDocument/2006/relationships/vmlDrawing" Target="../drawings/vmlDrawing1.vml"/><Relationship Id="rId75" Type="http://schemas.openxmlformats.org/officeDocument/2006/relationships/ctrlProp" Target="../ctrlProps/ctrlProp5.xml"/><Relationship Id="rId1" Type="http://schemas.openxmlformats.org/officeDocument/2006/relationships/hyperlink" Target="http://creativecommons.org/licenses/by-sa/4.0/" TargetMode="External"/><Relationship Id="rId6" Type="http://schemas.openxmlformats.org/officeDocument/2006/relationships/hyperlink" Target="http://creativecommons.org/licenses/by-sa/4.0/" TargetMode="External"/><Relationship Id="rId15" Type="http://schemas.openxmlformats.org/officeDocument/2006/relationships/hyperlink" Target="http://creativecommons.org/licenses/by-sa/4.0/" TargetMode="External"/><Relationship Id="rId23" Type="http://schemas.openxmlformats.org/officeDocument/2006/relationships/hyperlink" Target="http://hanschen.org/koppen/" TargetMode="External"/><Relationship Id="rId28" Type="http://schemas.openxmlformats.org/officeDocument/2006/relationships/hyperlink" Target="http://hanschen.org/koppen/" TargetMode="External"/><Relationship Id="rId36" Type="http://schemas.openxmlformats.org/officeDocument/2006/relationships/hyperlink" Target="http://www.weatherbase.com/weather/countryall.php3" TargetMode="External"/><Relationship Id="rId49" Type="http://schemas.openxmlformats.org/officeDocument/2006/relationships/hyperlink" Target="http://d-lab.mit.edu/off-grid-energy/" TargetMode="External"/><Relationship Id="rId57" Type="http://schemas.openxmlformats.org/officeDocument/2006/relationships/hyperlink" Target="http://cite.mit.edu/vegetable-cooling-and-storage-evaluation" TargetMode="External"/><Relationship Id="rId10" Type="http://schemas.openxmlformats.org/officeDocument/2006/relationships/hyperlink" Target="http://creativecommons.org/licenses/by-sa/4.0/" TargetMode="External"/><Relationship Id="rId31" Type="http://schemas.openxmlformats.org/officeDocument/2006/relationships/hyperlink" Target="http://www.weatherbase.com/weather/countryall.php3" TargetMode="External"/><Relationship Id="rId44" Type="http://schemas.openxmlformats.org/officeDocument/2006/relationships/hyperlink" Target="http://cite.mit.edu/vegetable-cooling-and-storage-evaluation" TargetMode="External"/><Relationship Id="rId52" Type="http://schemas.openxmlformats.org/officeDocument/2006/relationships/hyperlink" Target="http://d-lab.mit.edu/resources/projects/evaporative-cooling" TargetMode="External"/><Relationship Id="rId60" Type="http://schemas.openxmlformats.org/officeDocument/2006/relationships/hyperlink" Target="http://cite.mit.edu/vegetable-cooling-and-storage-evaluation" TargetMode="External"/><Relationship Id="rId65" Type="http://schemas.openxmlformats.org/officeDocument/2006/relationships/hyperlink" Target="http://d-lab.mit.edu/off-grid-energy/" TargetMode="External"/><Relationship Id="rId73" Type="http://schemas.openxmlformats.org/officeDocument/2006/relationships/ctrlProp" Target="../ctrlProps/ctrlProp3.xml"/><Relationship Id="rId78" Type="http://schemas.openxmlformats.org/officeDocument/2006/relationships/ctrlProp" Target="../ctrlProps/ctrlProp8.xml"/><Relationship Id="rId81" Type="http://schemas.openxmlformats.org/officeDocument/2006/relationships/ctrlProp" Target="../ctrlProps/ctrlProp11.xml"/><Relationship Id="rId4" Type="http://schemas.openxmlformats.org/officeDocument/2006/relationships/hyperlink" Target="http://creativecommons.org/licenses/by-sa/4.0/" TargetMode="External"/><Relationship Id="rId9" Type="http://schemas.openxmlformats.org/officeDocument/2006/relationships/hyperlink" Target="http://creativecommons.org/licenses/by-sa/4.0/" TargetMode="External"/><Relationship Id="rId13" Type="http://schemas.openxmlformats.org/officeDocument/2006/relationships/hyperlink" Target="http://creativecommons.org/licenses/by-sa/4.0/" TargetMode="External"/><Relationship Id="rId18" Type="http://schemas.openxmlformats.org/officeDocument/2006/relationships/hyperlink" Target="http://creativecommons.org/licenses/by-sa/4.0/" TargetMode="External"/><Relationship Id="rId39" Type="http://schemas.openxmlformats.org/officeDocument/2006/relationships/hyperlink" Target="http://d-lab.mit.edu/resources/projects/evaporative-cooling" TargetMode="External"/><Relationship Id="rId34" Type="http://schemas.openxmlformats.org/officeDocument/2006/relationships/hyperlink" Target="http://www.weatherbase.com/weather/countryall.php3" TargetMode="External"/><Relationship Id="rId50" Type="http://schemas.openxmlformats.org/officeDocument/2006/relationships/hyperlink" Target="http://d-lab.mit.edu/resources/projects/evaporative-cooling" TargetMode="External"/><Relationship Id="rId55" Type="http://schemas.openxmlformats.org/officeDocument/2006/relationships/hyperlink" Target="http://d-lab.mit.edu/research" TargetMode="External"/><Relationship Id="rId76" Type="http://schemas.openxmlformats.org/officeDocument/2006/relationships/ctrlProp" Target="../ctrlProps/ctrlProp6.xml"/><Relationship Id="rId7" Type="http://schemas.openxmlformats.org/officeDocument/2006/relationships/hyperlink" Target="http://creativecommons.org/licenses/by-sa/4.0/" TargetMode="External"/><Relationship Id="rId71" Type="http://schemas.openxmlformats.org/officeDocument/2006/relationships/ctrlProp" Target="../ctrlProps/ctrlProp1.xml"/><Relationship Id="rId2" Type="http://schemas.openxmlformats.org/officeDocument/2006/relationships/hyperlink" Target="http://creativecommons.org/licenses/by-sa/4.0/" TargetMode="External"/><Relationship Id="rId29" Type="http://schemas.openxmlformats.org/officeDocument/2006/relationships/hyperlink" Target="http://hanschen.org/koppen/" TargetMode="External"/><Relationship Id="rId24" Type="http://schemas.openxmlformats.org/officeDocument/2006/relationships/hyperlink" Target="http://hanschen.org/koppen/" TargetMode="External"/><Relationship Id="rId40" Type="http://schemas.openxmlformats.org/officeDocument/2006/relationships/hyperlink" Target="http://cite.mit.edu/vegetable-cooling-and-storage-evaluation" TargetMode="External"/><Relationship Id="rId45" Type="http://schemas.openxmlformats.org/officeDocument/2006/relationships/hyperlink" Target="http://cite.mit.edu/vegetable-cooling-and-storage-evaluation" TargetMode="External"/><Relationship Id="rId66" Type="http://schemas.openxmlformats.org/officeDocument/2006/relationships/hyperlink" Target="http://d-lab.mit.edu/resources/projects/evaporative-cool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engineeringtoolbox.com/fruits-vegetables-storage-conditions-d_710.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S206"/>
  <sheetViews>
    <sheetView tabSelected="1" workbookViewId="0">
      <selection activeCell="G24" sqref="G24"/>
    </sheetView>
  </sheetViews>
  <sheetFormatPr baseColWidth="10" defaultColWidth="0" defaultRowHeight="14" customHeight="1" zeroHeight="1" x14ac:dyDescent="0.2"/>
  <cols>
    <col min="1" max="1" width="5.5" style="100" customWidth="1"/>
    <col min="2" max="12" width="11" style="100" customWidth="1"/>
    <col min="13" max="19" width="11" style="127" customWidth="1"/>
    <col min="20" max="20" width="5.5" style="100" customWidth="1"/>
    <col min="21" max="21" width="4" style="100" hidden="1" customWidth="1"/>
    <col min="22" max="16384" width="10.83203125" style="100" hidden="1"/>
  </cols>
  <sheetData>
    <row r="1" spans="1:45" ht="15" customHeight="1" x14ac:dyDescent="0.2">
      <c r="A1" s="159"/>
      <c r="B1" s="196"/>
      <c r="C1" s="159"/>
      <c r="D1" s="159"/>
      <c r="E1" s="159"/>
      <c r="F1" s="160"/>
      <c r="G1" s="161"/>
      <c r="H1" s="160"/>
      <c r="I1" s="159"/>
      <c r="J1" s="159"/>
      <c r="K1" s="159"/>
      <c r="L1" s="159"/>
      <c r="M1" s="159"/>
      <c r="N1" s="159"/>
      <c r="O1" s="159"/>
      <c r="P1" s="159"/>
      <c r="Q1" s="159"/>
      <c r="R1" s="159"/>
      <c r="S1" s="159"/>
      <c r="T1" s="159"/>
      <c r="U1" s="106"/>
      <c r="X1" s="101"/>
      <c r="AS1" s="102"/>
    </row>
    <row r="2" spans="1:45" ht="15" customHeight="1" x14ac:dyDescent="0.2">
      <c r="A2" s="159"/>
      <c r="B2" s="159"/>
      <c r="C2" s="160"/>
      <c r="D2" s="160" t="s">
        <v>529</v>
      </c>
      <c r="E2" s="242"/>
      <c r="F2" s="243"/>
      <c r="G2" s="243"/>
      <c r="H2" s="242"/>
      <c r="I2" s="159"/>
      <c r="J2" s="159"/>
      <c r="K2" s="159"/>
      <c r="L2" s="159"/>
      <c r="M2" s="159"/>
      <c r="N2" s="159"/>
      <c r="O2" s="160"/>
      <c r="P2" s="163" t="s">
        <v>55</v>
      </c>
      <c r="Q2" s="160"/>
      <c r="R2" s="160"/>
      <c r="S2" s="160"/>
      <c r="T2" s="159"/>
      <c r="U2" s="106"/>
      <c r="X2" s="101"/>
      <c r="AS2" s="102"/>
    </row>
    <row r="3" spans="1:45" ht="15" customHeight="1" x14ac:dyDescent="0.2">
      <c r="A3" s="159"/>
      <c r="B3" s="159"/>
      <c r="C3" s="159"/>
      <c r="D3" s="160" t="s">
        <v>522</v>
      </c>
      <c r="E3" s="160"/>
      <c r="F3" s="160"/>
      <c r="G3" s="162"/>
      <c r="H3" s="160"/>
      <c r="I3" s="160"/>
      <c r="J3" s="160"/>
      <c r="K3" s="160"/>
      <c r="L3" s="159"/>
      <c r="M3" s="159"/>
      <c r="N3" s="159"/>
      <c r="O3" s="164"/>
      <c r="P3" s="164" t="s">
        <v>56</v>
      </c>
      <c r="Q3" s="164"/>
      <c r="R3" s="160"/>
      <c r="S3" s="160"/>
      <c r="T3" s="159"/>
      <c r="U3" s="106"/>
      <c r="X3" s="101"/>
      <c r="AS3" s="102"/>
    </row>
    <row r="4" spans="1:45" ht="15" customHeight="1" x14ac:dyDescent="0.2">
      <c r="A4" s="159"/>
      <c r="B4" s="159"/>
      <c r="C4" s="159"/>
      <c r="D4" s="160"/>
      <c r="E4" s="159"/>
      <c r="F4" s="159"/>
      <c r="G4" s="159"/>
      <c r="H4" s="159"/>
      <c r="I4" s="159"/>
      <c r="J4" s="159"/>
      <c r="K4" s="159"/>
      <c r="L4" s="159"/>
      <c r="M4" s="159"/>
      <c r="N4" s="159"/>
      <c r="O4" s="159"/>
      <c r="P4" s="159"/>
      <c r="Q4" s="159"/>
      <c r="R4" s="159"/>
      <c r="S4" s="159"/>
      <c r="T4" s="159"/>
      <c r="U4" s="106"/>
      <c r="X4" s="101"/>
      <c r="AS4" s="102"/>
    </row>
    <row r="5" spans="1:45" ht="15" customHeight="1" x14ac:dyDescent="0.2">
      <c r="A5" s="178"/>
      <c r="B5" s="178"/>
      <c r="C5" s="178"/>
      <c r="D5" s="178"/>
      <c r="E5" s="178"/>
      <c r="F5" s="178"/>
      <c r="G5" s="178"/>
      <c r="H5" s="178"/>
      <c r="I5" s="178"/>
      <c r="J5" s="178"/>
      <c r="K5" s="178"/>
      <c r="L5" s="178"/>
      <c r="M5" s="172"/>
      <c r="N5" s="172"/>
      <c r="O5" s="178"/>
      <c r="P5" s="178"/>
      <c r="Q5" s="178"/>
      <c r="R5" s="172"/>
      <c r="S5" s="172"/>
      <c r="T5" s="178"/>
      <c r="U5" s="106"/>
      <c r="AS5" s="102"/>
    </row>
    <row r="6" spans="1:45" ht="15" customHeight="1" x14ac:dyDescent="0.2">
      <c r="A6" s="178"/>
      <c r="B6" s="380" t="s">
        <v>245</v>
      </c>
      <c r="C6" s="380"/>
      <c r="D6" s="380"/>
      <c r="E6" s="380"/>
      <c r="F6" s="380"/>
      <c r="G6" s="380"/>
      <c r="H6" s="380"/>
      <c r="I6" s="380"/>
      <c r="J6" s="380"/>
      <c r="K6" s="380"/>
      <c r="L6" s="380"/>
      <c r="M6" s="380"/>
      <c r="N6" s="380"/>
      <c r="O6" s="380"/>
      <c r="P6" s="380"/>
      <c r="Q6" s="380"/>
      <c r="R6" s="380"/>
      <c r="S6" s="380"/>
      <c r="T6" s="178"/>
      <c r="U6" s="106"/>
      <c r="AS6" s="102"/>
    </row>
    <row r="7" spans="1:45" ht="15" customHeight="1" x14ac:dyDescent="0.2">
      <c r="A7" s="178"/>
      <c r="B7" s="380"/>
      <c r="C7" s="380"/>
      <c r="D7" s="380"/>
      <c r="E7" s="380"/>
      <c r="F7" s="380"/>
      <c r="G7" s="380"/>
      <c r="H7" s="380"/>
      <c r="I7" s="380"/>
      <c r="J7" s="380"/>
      <c r="K7" s="380"/>
      <c r="L7" s="380"/>
      <c r="M7" s="380"/>
      <c r="N7" s="380"/>
      <c r="O7" s="380"/>
      <c r="P7" s="380"/>
      <c r="Q7" s="380"/>
      <c r="R7" s="380"/>
      <c r="S7" s="380"/>
      <c r="T7" s="178"/>
      <c r="U7" s="106"/>
      <c r="AS7" s="102"/>
    </row>
    <row r="8" spans="1:45" ht="15" customHeight="1" x14ac:dyDescent="0.2">
      <c r="A8" s="178"/>
      <c r="B8" s="380"/>
      <c r="C8" s="380"/>
      <c r="D8" s="380"/>
      <c r="E8" s="380"/>
      <c r="F8" s="380"/>
      <c r="G8" s="380"/>
      <c r="H8" s="380"/>
      <c r="I8" s="380"/>
      <c r="J8" s="380"/>
      <c r="K8" s="380"/>
      <c r="L8" s="380"/>
      <c r="M8" s="380"/>
      <c r="N8" s="380"/>
      <c r="O8" s="380"/>
      <c r="P8" s="380"/>
      <c r="Q8" s="380"/>
      <c r="R8" s="380"/>
      <c r="S8" s="380"/>
      <c r="T8" s="178"/>
      <c r="U8" s="106"/>
      <c r="AS8" s="102"/>
    </row>
    <row r="9" spans="1:45" ht="20" customHeight="1" x14ac:dyDescent="0.2">
      <c r="A9" s="178"/>
      <c r="B9" s="406" t="s">
        <v>244</v>
      </c>
      <c r="C9" s="406"/>
      <c r="D9" s="406"/>
      <c r="E9" s="406"/>
      <c r="F9" s="406"/>
      <c r="G9" s="406"/>
      <c r="H9" s="406"/>
      <c r="I9" s="406"/>
      <c r="J9" s="406"/>
      <c r="K9" s="406"/>
      <c r="L9" s="406"/>
      <c r="M9" s="406"/>
      <c r="N9" s="406"/>
      <c r="O9" s="406"/>
      <c r="P9" s="406"/>
      <c r="Q9" s="406"/>
      <c r="R9" s="406"/>
      <c r="S9" s="406"/>
      <c r="T9" s="178"/>
      <c r="U9" s="106"/>
      <c r="X9" s="103" t="s">
        <v>269</v>
      </c>
      <c r="AS9" s="102"/>
    </row>
    <row r="10" spans="1:45" ht="18" customHeight="1" x14ac:dyDescent="0.2">
      <c r="A10" s="253" t="s">
        <v>524</v>
      </c>
      <c r="B10" s="253"/>
      <c r="C10" s="253"/>
      <c r="D10" s="253"/>
      <c r="E10" s="253"/>
      <c r="F10" s="253"/>
      <c r="G10" s="253"/>
      <c r="H10" s="253"/>
      <c r="I10" s="253"/>
      <c r="J10" s="253"/>
      <c r="K10" s="253"/>
      <c r="L10" s="253"/>
      <c r="M10" s="253"/>
      <c r="N10" s="253"/>
      <c r="O10" s="253"/>
      <c r="P10" s="253"/>
      <c r="Q10" s="253"/>
      <c r="R10" s="253"/>
      <c r="S10" s="253"/>
      <c r="T10" s="253"/>
      <c r="U10" s="106"/>
      <c r="X10" s="100" t="s">
        <v>234</v>
      </c>
      <c r="AS10" s="102"/>
    </row>
    <row r="11" spans="1:45" ht="15" customHeight="1" x14ac:dyDescent="0.2">
      <c r="A11" s="179"/>
      <c r="B11" s="165"/>
      <c r="C11" s="165"/>
      <c r="D11" s="165"/>
      <c r="E11" s="165"/>
      <c r="F11" s="165"/>
      <c r="G11" s="165"/>
      <c r="H11" s="165"/>
      <c r="I11" s="165"/>
      <c r="J11" s="165"/>
      <c r="K11" s="165"/>
      <c r="L11" s="165"/>
      <c r="M11" s="165"/>
      <c r="N11" s="165"/>
      <c r="O11" s="165"/>
      <c r="P11" s="165"/>
      <c r="Q11" s="165"/>
      <c r="R11" s="165"/>
      <c r="S11" s="165"/>
      <c r="T11" s="179"/>
      <c r="U11" s="106"/>
      <c r="X11" s="100" t="s">
        <v>235</v>
      </c>
      <c r="AS11" s="102"/>
    </row>
    <row r="12" spans="1:45" ht="15" customHeight="1" x14ac:dyDescent="0.2">
      <c r="A12" s="178"/>
      <c r="B12" s="166"/>
      <c r="C12" s="166"/>
      <c r="D12" s="166"/>
      <c r="E12" s="166"/>
      <c r="F12" s="166"/>
      <c r="G12" s="166"/>
      <c r="H12" s="166"/>
      <c r="I12" s="166"/>
      <c r="J12" s="167"/>
      <c r="K12" s="167"/>
      <c r="L12" s="167"/>
      <c r="M12" s="167"/>
      <c r="N12" s="167"/>
      <c r="O12" s="167"/>
      <c r="P12" s="167"/>
      <c r="Q12" s="167"/>
      <c r="R12" s="167"/>
      <c r="S12" s="166"/>
      <c r="T12" s="178"/>
      <c r="U12" s="106"/>
      <c r="AS12" s="102"/>
    </row>
    <row r="13" spans="1:45" ht="15" customHeight="1" x14ac:dyDescent="0.2">
      <c r="A13" s="178"/>
      <c r="B13" s="374" t="s">
        <v>129</v>
      </c>
      <c r="C13" s="374"/>
      <c r="D13" s="374"/>
      <c r="E13" s="374"/>
      <c r="F13" s="374"/>
      <c r="G13" s="374"/>
      <c r="H13" s="374"/>
      <c r="I13" s="166"/>
      <c r="J13" s="274" t="s">
        <v>279</v>
      </c>
      <c r="K13" s="274"/>
      <c r="L13" s="274"/>
      <c r="M13" s="274"/>
      <c r="N13" s="274"/>
      <c r="O13" s="274"/>
      <c r="P13" s="274"/>
      <c r="Q13" s="274"/>
      <c r="R13" s="274"/>
      <c r="S13" s="166"/>
      <c r="T13" s="178"/>
      <c r="U13" s="106"/>
      <c r="AS13" s="102"/>
    </row>
    <row r="14" spans="1:45" ht="15" customHeight="1" x14ac:dyDescent="0.2">
      <c r="A14" s="178"/>
      <c r="B14" s="374"/>
      <c r="C14" s="374"/>
      <c r="D14" s="374"/>
      <c r="E14" s="374"/>
      <c r="F14" s="374"/>
      <c r="G14" s="374"/>
      <c r="H14" s="374"/>
      <c r="I14" s="168"/>
      <c r="J14" s="275"/>
      <c r="K14" s="275"/>
      <c r="L14" s="275"/>
      <c r="M14" s="275"/>
      <c r="N14" s="275"/>
      <c r="O14" s="275"/>
      <c r="P14" s="275"/>
      <c r="Q14" s="275"/>
      <c r="R14" s="275"/>
      <c r="S14" s="166"/>
      <c r="T14" s="178"/>
      <c r="U14" s="106"/>
      <c r="X14" s="104" t="s">
        <v>160</v>
      </c>
      <c r="Y14" s="105" t="s">
        <v>72</v>
      </c>
      <c r="Z14" s="104" t="s">
        <v>156</v>
      </c>
      <c r="AA14" s="104" t="str">
        <f>IF(COUNTIF(Calculations!D118:D129,1)+COUNTIF(Calculations!D118:D129,2)+COUNTIF(Calculations!D118:D129,3)=12,Y14,Z14)</f>
        <v>no*</v>
      </c>
      <c r="AB14" s="104">
        <v>14</v>
      </c>
      <c r="AS14" s="102"/>
    </row>
    <row r="15" spans="1:45" ht="15" customHeight="1" x14ac:dyDescent="0.2">
      <c r="A15" s="178"/>
      <c r="B15" s="217"/>
      <c r="C15" s="217"/>
      <c r="D15" s="217"/>
      <c r="E15" s="217"/>
      <c r="F15" s="217"/>
      <c r="G15" s="217"/>
      <c r="H15" s="217"/>
      <c r="I15" s="168"/>
      <c r="J15" s="400" t="s">
        <v>248</v>
      </c>
      <c r="K15" s="401"/>
      <c r="L15" s="401"/>
      <c r="M15" s="401"/>
      <c r="N15" s="401"/>
      <c r="O15" s="401"/>
      <c r="P15" s="401"/>
      <c r="Q15" s="401"/>
      <c r="R15" s="402"/>
      <c r="S15" s="166"/>
      <c r="T15" s="178"/>
      <c r="U15" s="106"/>
      <c r="X15" s="104"/>
      <c r="Y15" s="105"/>
      <c r="Z15" s="104"/>
      <c r="AA15" s="104"/>
      <c r="AB15" s="104"/>
      <c r="AS15" s="102"/>
    </row>
    <row r="16" spans="1:45" ht="15" customHeight="1" x14ac:dyDescent="0.2">
      <c r="A16" s="178"/>
      <c r="B16" s="168"/>
      <c r="C16" s="168"/>
      <c r="D16" s="168"/>
      <c r="E16" s="168"/>
      <c r="F16" s="168"/>
      <c r="G16" s="168"/>
      <c r="H16" s="168"/>
      <c r="I16" s="168"/>
      <c r="J16" s="403"/>
      <c r="K16" s="404"/>
      <c r="L16" s="404"/>
      <c r="M16" s="404"/>
      <c r="N16" s="404"/>
      <c r="O16" s="404"/>
      <c r="P16" s="404"/>
      <c r="Q16" s="404"/>
      <c r="R16" s="405"/>
      <c r="S16" s="166"/>
      <c r="T16" s="178"/>
      <c r="U16" s="106"/>
      <c r="X16" s="104"/>
      <c r="Y16" s="105"/>
      <c r="Z16" s="104"/>
      <c r="AA16" s="104"/>
      <c r="AB16" s="104"/>
      <c r="AS16" s="102"/>
    </row>
    <row r="17" spans="1:45" ht="15" customHeight="1" x14ac:dyDescent="0.2">
      <c r="A17" s="178"/>
      <c r="B17" s="276" t="s">
        <v>249</v>
      </c>
      <c r="C17" s="276"/>
      <c r="D17" s="276"/>
      <c r="E17" s="276"/>
      <c r="F17" s="276"/>
      <c r="G17" s="276"/>
      <c r="H17" s="276"/>
      <c r="I17" s="168"/>
      <c r="J17" s="403"/>
      <c r="K17" s="404"/>
      <c r="L17" s="404"/>
      <c r="M17" s="404"/>
      <c r="N17" s="404"/>
      <c r="O17" s="404"/>
      <c r="P17" s="404"/>
      <c r="Q17" s="404"/>
      <c r="R17" s="405"/>
      <c r="S17" s="166"/>
      <c r="T17" s="178"/>
      <c r="U17" s="106"/>
      <c r="X17" s="104"/>
      <c r="Y17" s="105"/>
      <c r="Z17" s="104"/>
      <c r="AA17" s="104"/>
      <c r="AB17" s="104"/>
      <c r="AS17" s="102"/>
    </row>
    <row r="18" spans="1:45" ht="15" customHeight="1" x14ac:dyDescent="0.2">
      <c r="A18" s="178"/>
      <c r="B18" s="276"/>
      <c r="C18" s="276"/>
      <c r="D18" s="276"/>
      <c r="E18" s="276"/>
      <c r="F18" s="276"/>
      <c r="G18" s="276"/>
      <c r="H18" s="276"/>
      <c r="I18" s="168"/>
      <c r="J18" s="410" t="s">
        <v>246</v>
      </c>
      <c r="K18" s="411"/>
      <c r="L18" s="411"/>
      <c r="M18" s="411"/>
      <c r="N18" s="411"/>
      <c r="O18" s="411"/>
      <c r="P18" s="411"/>
      <c r="Q18" s="411"/>
      <c r="R18" s="412"/>
      <c r="S18" s="166"/>
      <c r="T18" s="178"/>
      <c r="U18" s="106"/>
      <c r="X18" s="104"/>
      <c r="Y18" s="105"/>
      <c r="Z18" s="104"/>
      <c r="AA18" s="104"/>
      <c r="AB18" s="104"/>
      <c r="AS18" s="102"/>
    </row>
    <row r="19" spans="1:45" ht="15" customHeight="1" x14ac:dyDescent="0.2">
      <c r="A19" s="178"/>
      <c r="B19" s="276" t="s">
        <v>514</v>
      </c>
      <c r="C19" s="276"/>
      <c r="D19" s="276"/>
      <c r="E19" s="276"/>
      <c r="F19" s="276"/>
      <c r="G19" s="276"/>
      <c r="H19" s="276"/>
      <c r="I19" s="169"/>
      <c r="J19" s="407" t="s">
        <v>247</v>
      </c>
      <c r="K19" s="408"/>
      <c r="L19" s="408"/>
      <c r="M19" s="408"/>
      <c r="N19" s="408"/>
      <c r="O19" s="408"/>
      <c r="P19" s="408"/>
      <c r="Q19" s="408"/>
      <c r="R19" s="409"/>
      <c r="S19" s="166"/>
      <c r="T19" s="178"/>
      <c r="U19" s="106"/>
      <c r="X19" s="104" t="s">
        <v>154</v>
      </c>
      <c r="Y19" s="105" t="s">
        <v>72</v>
      </c>
      <c r="Z19" s="104" t="s">
        <v>156</v>
      </c>
      <c r="AA19" s="104" t="str">
        <f>IF(B43="", Z19, Y19)</f>
        <v>no*</v>
      </c>
      <c r="AB19" s="104">
        <v>15</v>
      </c>
      <c r="AS19" s="102"/>
    </row>
    <row r="20" spans="1:45" ht="15" customHeight="1" x14ac:dyDescent="0.2">
      <c r="A20" s="178"/>
      <c r="B20" s="276"/>
      <c r="C20" s="276"/>
      <c r="D20" s="276"/>
      <c r="E20" s="276"/>
      <c r="F20" s="276"/>
      <c r="G20" s="276"/>
      <c r="H20" s="276"/>
      <c r="I20" s="166"/>
      <c r="J20" s="397" t="s">
        <v>525</v>
      </c>
      <c r="K20" s="398"/>
      <c r="L20" s="398"/>
      <c r="M20" s="398"/>
      <c r="N20" s="398"/>
      <c r="O20" s="398"/>
      <c r="P20" s="398"/>
      <c r="Q20" s="398"/>
      <c r="R20" s="399"/>
      <c r="S20" s="166"/>
      <c r="T20" s="178"/>
      <c r="U20" s="106"/>
      <c r="X20" s="104" t="s">
        <v>163</v>
      </c>
      <c r="Y20" s="105" t="s">
        <v>72</v>
      </c>
      <c r="Z20" s="104" t="s">
        <v>156</v>
      </c>
      <c r="AA20" s="104" t="str">
        <f>IF(Calculations!S77=0, Z20, Y20)</f>
        <v>no*</v>
      </c>
      <c r="AB20" s="104">
        <v>16</v>
      </c>
      <c r="AS20" s="102"/>
    </row>
    <row r="21" spans="1:45" ht="15" customHeight="1" x14ac:dyDescent="0.2">
      <c r="A21" s="178"/>
      <c r="B21" s="170"/>
      <c r="C21" s="170"/>
      <c r="D21" s="170"/>
      <c r="E21" s="170"/>
      <c r="F21" s="170"/>
      <c r="G21" s="170"/>
      <c r="H21" s="170"/>
      <c r="I21" s="171"/>
      <c r="J21" s="171"/>
      <c r="K21" s="171"/>
      <c r="L21" s="171"/>
      <c r="M21" s="171"/>
      <c r="N21" s="171"/>
      <c r="O21" s="171"/>
      <c r="P21" s="171"/>
      <c r="Q21" s="171"/>
      <c r="R21" s="171"/>
      <c r="S21" s="169"/>
      <c r="T21" s="178"/>
      <c r="U21" s="106"/>
      <c r="X21" s="104" t="s">
        <v>155</v>
      </c>
      <c r="Y21" s="105" t="s">
        <v>72</v>
      </c>
      <c r="Z21" s="104" t="s">
        <v>156</v>
      </c>
      <c r="AA21" s="104" t="str">
        <f>IF(B44="", Z21, Y21)</f>
        <v>no*</v>
      </c>
      <c r="AB21" s="104">
        <v>17</v>
      </c>
      <c r="AS21" s="102"/>
    </row>
    <row r="22" spans="1:45" ht="15" customHeight="1" x14ac:dyDescent="0.2">
      <c r="A22" s="178"/>
      <c r="B22" s="262"/>
      <c r="C22" s="263"/>
      <c r="D22" s="278"/>
      <c r="E22" s="279"/>
      <c r="F22" s="280"/>
      <c r="G22" s="326"/>
      <c r="H22" s="327"/>
      <c r="I22" s="327"/>
      <c r="J22" s="327"/>
      <c r="K22" s="327"/>
      <c r="L22" s="327"/>
      <c r="M22" s="327"/>
      <c r="N22" s="327"/>
      <c r="O22" s="327"/>
      <c r="P22" s="327"/>
      <c r="Q22" s="327"/>
      <c r="R22" s="328"/>
      <c r="S22" s="172"/>
      <c r="T22" s="178"/>
      <c r="U22" s="106"/>
      <c r="X22" s="104" t="s">
        <v>152</v>
      </c>
      <c r="Y22" s="105" t="s">
        <v>72</v>
      </c>
      <c r="Z22" s="104" t="s">
        <v>156</v>
      </c>
      <c r="AA22" s="104" t="str">
        <f>IF(Y92="", Z22, Y22)</f>
        <v>no*</v>
      </c>
      <c r="AB22" s="104">
        <v>18</v>
      </c>
      <c r="AS22" s="102"/>
    </row>
    <row r="23" spans="1:45" ht="15" customHeight="1" x14ac:dyDescent="0.2">
      <c r="A23" s="178"/>
      <c r="B23" s="264"/>
      <c r="C23" s="265"/>
      <c r="D23" s="281"/>
      <c r="E23" s="282"/>
      <c r="F23" s="283"/>
      <c r="G23" s="173" t="s">
        <v>17</v>
      </c>
      <c r="H23" s="173" t="s">
        <v>18</v>
      </c>
      <c r="I23" s="173" t="s">
        <v>19</v>
      </c>
      <c r="J23" s="173" t="s">
        <v>20</v>
      </c>
      <c r="K23" s="173" t="s">
        <v>21</v>
      </c>
      <c r="L23" s="173" t="s">
        <v>22</v>
      </c>
      <c r="M23" s="173" t="s">
        <v>23</v>
      </c>
      <c r="N23" s="173" t="s">
        <v>24</v>
      </c>
      <c r="O23" s="173" t="s">
        <v>36</v>
      </c>
      <c r="P23" s="173" t="s">
        <v>25</v>
      </c>
      <c r="Q23" s="173" t="s">
        <v>26</v>
      </c>
      <c r="R23" s="174" t="s">
        <v>27</v>
      </c>
      <c r="S23" s="172"/>
      <c r="T23" s="178"/>
      <c r="U23" s="106"/>
      <c r="X23" s="104" t="s">
        <v>153</v>
      </c>
      <c r="Y23" s="105" t="s">
        <v>72</v>
      </c>
      <c r="Z23" s="104" t="s">
        <v>156</v>
      </c>
      <c r="AA23" s="104" t="str">
        <f>IF(SUM(G88:R88)=0, Z22, Y22)</f>
        <v>no*</v>
      </c>
      <c r="AB23" s="104">
        <v>19</v>
      </c>
      <c r="AS23" s="102"/>
    </row>
    <row r="24" spans="1:45" ht="72" customHeight="1" x14ac:dyDescent="0.2">
      <c r="A24" s="178"/>
      <c r="B24" s="284" t="str">
        <f>Calculations!B13</f>
        <v>Question 1:                                           Humidity</v>
      </c>
      <c r="C24" s="285"/>
      <c r="D24" s="315" t="str">
        <f>Calculations!B14</f>
        <v>What is the typical relative humidity during the day in each month?</v>
      </c>
      <c r="E24" s="316"/>
      <c r="F24" s="317"/>
      <c r="G24" s="203" t="s">
        <v>29</v>
      </c>
      <c r="H24" s="203" t="s">
        <v>29</v>
      </c>
      <c r="I24" s="203" t="s">
        <v>29</v>
      </c>
      <c r="J24" s="203" t="s">
        <v>29</v>
      </c>
      <c r="K24" s="203" t="s">
        <v>29</v>
      </c>
      <c r="L24" s="203" t="s">
        <v>29</v>
      </c>
      <c r="M24" s="203" t="s">
        <v>29</v>
      </c>
      <c r="N24" s="203" t="s">
        <v>29</v>
      </c>
      <c r="O24" s="203" t="s">
        <v>29</v>
      </c>
      <c r="P24" s="203" t="s">
        <v>29</v>
      </c>
      <c r="Q24" s="203" t="s">
        <v>29</v>
      </c>
      <c r="R24" s="203" t="s">
        <v>29</v>
      </c>
      <c r="S24" s="175"/>
      <c r="T24" s="185"/>
      <c r="U24" s="106"/>
      <c r="V24" s="106"/>
      <c r="W24" s="106"/>
      <c r="X24" s="101"/>
      <c r="AS24" s="102"/>
    </row>
    <row r="25" spans="1:45" ht="72" customHeight="1" x14ac:dyDescent="0.2">
      <c r="A25" s="178"/>
      <c r="B25" s="284" t="str">
        <f>Calculations!C13</f>
        <v>Question 2:                                           Temperature</v>
      </c>
      <c r="C25" s="285"/>
      <c r="D25" s="315" t="str">
        <f>Calculations!C14</f>
        <v>What is the typical maximum temperature during the day in each month?</v>
      </c>
      <c r="E25" s="316"/>
      <c r="F25" s="317"/>
      <c r="G25" s="203" t="s">
        <v>30</v>
      </c>
      <c r="H25" s="203" t="s">
        <v>30</v>
      </c>
      <c r="I25" s="203" t="s">
        <v>30</v>
      </c>
      <c r="J25" s="203" t="s">
        <v>30</v>
      </c>
      <c r="K25" s="203" t="s">
        <v>30</v>
      </c>
      <c r="L25" s="203" t="s">
        <v>30</v>
      </c>
      <c r="M25" s="203" t="s">
        <v>30</v>
      </c>
      <c r="N25" s="203" t="s">
        <v>30</v>
      </c>
      <c r="O25" s="203" t="s">
        <v>30</v>
      </c>
      <c r="P25" s="203" t="s">
        <v>30</v>
      </c>
      <c r="Q25" s="203" t="s">
        <v>30</v>
      </c>
      <c r="R25" s="203" t="s">
        <v>30</v>
      </c>
      <c r="S25" s="175"/>
      <c r="T25" s="185"/>
      <c r="U25" s="106"/>
      <c r="V25" s="106"/>
      <c r="W25" s="106"/>
      <c r="X25" s="107" t="s">
        <v>204</v>
      </c>
      <c r="Y25" s="108" t="str">
        <f>Calculations!AX117</f>
        <v/>
      </c>
      <c r="AS25" s="102"/>
    </row>
    <row r="26" spans="1:45" ht="72" customHeight="1" x14ac:dyDescent="0.2">
      <c r="A26" s="178"/>
      <c r="B26" s="294" t="str">
        <f>Calculations!D13</f>
        <v>Question 3:                                           Water access</v>
      </c>
      <c r="C26" s="295"/>
      <c r="D26" s="315" t="str">
        <f>Calculations!D14</f>
        <v>For each month, select "Yes" if there is access to water that can be used for vegetable cooling and storage on a daily basis</v>
      </c>
      <c r="E26" s="316"/>
      <c r="F26" s="317"/>
      <c r="G26" s="176"/>
      <c r="H26" s="176"/>
      <c r="I26" s="176"/>
      <c r="J26" s="176"/>
      <c r="K26" s="176"/>
      <c r="L26" s="176"/>
      <c r="M26" s="176"/>
      <c r="N26" s="176"/>
      <c r="O26" s="176"/>
      <c r="P26" s="176"/>
      <c r="Q26" s="176"/>
      <c r="R26" s="176"/>
      <c r="S26" s="175"/>
      <c r="T26" s="185"/>
      <c r="U26" s="106"/>
      <c r="V26" s="106"/>
      <c r="X26" s="107" t="s">
        <v>214</v>
      </c>
      <c r="Y26" s="108" t="s">
        <v>161</v>
      </c>
      <c r="AS26" s="102"/>
    </row>
    <row r="27" spans="1:45" ht="18" customHeight="1" x14ac:dyDescent="0.2">
      <c r="A27" s="178"/>
      <c r="B27" s="391" t="s">
        <v>219</v>
      </c>
      <c r="C27" s="392"/>
      <c r="D27" s="392"/>
      <c r="E27" s="392"/>
      <c r="F27" s="393"/>
      <c r="G27" s="199" t="str">
        <f>IF(Calculations!G93=0, "", Calculations!G93)</f>
        <v/>
      </c>
      <c r="H27" s="199" t="str">
        <f>IF(Calculations!H93=0, "", Calculations!H93)</f>
        <v/>
      </c>
      <c r="I27" s="199" t="str">
        <f>IF(Calculations!I93=0, "", Calculations!I93)</f>
        <v/>
      </c>
      <c r="J27" s="199" t="str">
        <f>IF(Calculations!J93=0, "", Calculations!J93)</f>
        <v/>
      </c>
      <c r="K27" s="199" t="str">
        <f>IF(Calculations!K93=0, "", Calculations!K93)</f>
        <v/>
      </c>
      <c r="L27" s="199" t="str">
        <f>IF(Calculations!L93=0, "", Calculations!L93)</f>
        <v/>
      </c>
      <c r="M27" s="199" t="str">
        <f>IF(Calculations!M93=0, "", Calculations!M93)</f>
        <v/>
      </c>
      <c r="N27" s="199" t="str">
        <f>IF(Calculations!N93=0, "", Calculations!N93)</f>
        <v/>
      </c>
      <c r="O27" s="199" t="str">
        <f>IF(Calculations!O93=0, "", Calculations!O93)</f>
        <v/>
      </c>
      <c r="P27" s="199" t="str">
        <f>IF(Calculations!P93=0, "", Calculations!P93)</f>
        <v/>
      </c>
      <c r="Q27" s="199" t="str">
        <f>IF(Calculations!Q93=0, "", Calculations!Q93)</f>
        <v/>
      </c>
      <c r="R27" s="200" t="str">
        <f>IF(Calculations!R93=0, "", Calculations!R93)</f>
        <v/>
      </c>
      <c r="S27" s="172"/>
      <c r="T27" s="178"/>
      <c r="U27" s="106"/>
      <c r="X27" s="107" t="s">
        <v>215</v>
      </c>
      <c r="Y27" s="128" t="s">
        <v>280</v>
      </c>
      <c r="AS27" s="102"/>
    </row>
    <row r="28" spans="1:45" s="109" customFormat="1" ht="30" customHeight="1" x14ac:dyDescent="0.2">
      <c r="A28" s="197"/>
      <c r="B28" s="394" t="s">
        <v>220</v>
      </c>
      <c r="C28" s="395"/>
      <c r="D28" s="395"/>
      <c r="E28" s="395"/>
      <c r="F28" s="396"/>
      <c r="G28" s="201" t="str">
        <f>IF(Calculations!G94=0, "", Calculations!G94)</f>
        <v>Enter humidity</v>
      </c>
      <c r="H28" s="201" t="str">
        <f>IF(Calculations!H94=0, "", Calculations!H94)</f>
        <v>Enter humidity</v>
      </c>
      <c r="I28" s="201" t="str">
        <f>IF(Calculations!I94=0, "", Calculations!I94)</f>
        <v>Enter humidity</v>
      </c>
      <c r="J28" s="201" t="str">
        <f>IF(Calculations!J94=0, "", Calculations!J94)</f>
        <v>Enter humidity</v>
      </c>
      <c r="K28" s="201" t="str">
        <f>IF(Calculations!K94=0, "", Calculations!K94)</f>
        <v>Enter humidity</v>
      </c>
      <c r="L28" s="201" t="str">
        <f>IF(Calculations!L94=0, "", Calculations!L94)</f>
        <v>Enter humidity</v>
      </c>
      <c r="M28" s="201" t="str">
        <f>IF(Calculations!M94=0, "", Calculations!M94)</f>
        <v>Enter humidity</v>
      </c>
      <c r="N28" s="201" t="str">
        <f>IF(Calculations!N94=0, "", Calculations!N94)</f>
        <v>Enter humidity</v>
      </c>
      <c r="O28" s="201" t="str">
        <f>IF(Calculations!O94=0, "", Calculations!O94)</f>
        <v>Enter humidity</v>
      </c>
      <c r="P28" s="201" t="str">
        <f>IF(Calculations!P94=0, "", Calculations!P94)</f>
        <v>Enter humidity</v>
      </c>
      <c r="Q28" s="201" t="str">
        <f>IF(Calculations!Q94=0, "", Calculations!Q94)</f>
        <v>Enter humidity</v>
      </c>
      <c r="R28" s="202" t="str">
        <f>IF(Calculations!R94=0, "", Calculations!R94)</f>
        <v>Enter humidity</v>
      </c>
      <c r="S28" s="177"/>
      <c r="T28" s="197"/>
      <c r="U28" s="132"/>
      <c r="X28" s="101" t="s">
        <v>205</v>
      </c>
      <c r="Y28" s="108" t="s">
        <v>157</v>
      </c>
      <c r="AS28" s="110"/>
    </row>
    <row r="29" spans="1:45" ht="15" customHeight="1" x14ac:dyDescent="0.2">
      <c r="A29" s="178"/>
      <c r="B29" s="178"/>
      <c r="C29" s="178"/>
      <c r="D29" s="178"/>
      <c r="E29" s="178"/>
      <c r="F29" s="178"/>
      <c r="G29" s="178"/>
      <c r="H29" s="178"/>
      <c r="I29" s="178"/>
      <c r="J29" s="178"/>
      <c r="K29" s="178"/>
      <c r="L29" s="178"/>
      <c r="M29" s="178"/>
      <c r="N29" s="178"/>
      <c r="O29" s="178"/>
      <c r="P29" s="178"/>
      <c r="Q29" s="178"/>
      <c r="R29" s="178"/>
      <c r="S29" s="172"/>
      <c r="T29" s="178"/>
      <c r="U29" s="106"/>
      <c r="X29" s="101" t="s">
        <v>206</v>
      </c>
      <c r="Y29" s="108" t="s">
        <v>202</v>
      </c>
      <c r="AS29" s="102"/>
    </row>
    <row r="30" spans="1:45" ht="15" customHeight="1" x14ac:dyDescent="0.2">
      <c r="A30" s="178"/>
      <c r="B30" s="273" t="str">
        <f>IF(AA14="no*", Y26, IF(AA20="no*", Y30, IF(AA19="pass", Y32, Y28)))</f>
        <v>Please complete Question 1 of the table above in order to move to the next section</v>
      </c>
      <c r="C30" s="273"/>
      <c r="D30" s="273"/>
      <c r="E30" s="273"/>
      <c r="F30" s="273"/>
      <c r="G30" s="273"/>
      <c r="H30" s="273"/>
      <c r="I30" s="273"/>
      <c r="J30" s="273"/>
      <c r="K30" s="273"/>
      <c r="L30" s="273"/>
      <c r="M30" s="273"/>
      <c r="N30" s="273"/>
      <c r="O30" s="273"/>
      <c r="P30" s="273"/>
      <c r="Q30" s="273"/>
      <c r="R30" s="273"/>
      <c r="S30" s="273"/>
      <c r="T30" s="178"/>
      <c r="U30" s="106"/>
      <c r="X30" s="101" t="s">
        <v>207</v>
      </c>
      <c r="Y30" s="108" t="s">
        <v>164</v>
      </c>
      <c r="AS30" s="102"/>
    </row>
    <row r="31" spans="1:45" ht="15" customHeight="1" x14ac:dyDescent="0.2">
      <c r="A31" s="178"/>
      <c r="B31" s="273"/>
      <c r="C31" s="273"/>
      <c r="D31" s="273"/>
      <c r="E31" s="273"/>
      <c r="F31" s="273"/>
      <c r="G31" s="273"/>
      <c r="H31" s="273"/>
      <c r="I31" s="273"/>
      <c r="J31" s="273"/>
      <c r="K31" s="273"/>
      <c r="L31" s="273"/>
      <c r="M31" s="273"/>
      <c r="N31" s="273"/>
      <c r="O31" s="273"/>
      <c r="P31" s="273"/>
      <c r="Q31" s="273"/>
      <c r="R31" s="273"/>
      <c r="S31" s="273"/>
      <c r="T31" s="178"/>
      <c r="U31" s="106"/>
      <c r="X31" s="101" t="s">
        <v>208</v>
      </c>
      <c r="Y31" s="108" t="s">
        <v>203</v>
      </c>
      <c r="Z31" s="109"/>
      <c r="AA31" s="109"/>
      <c r="AB31" s="109"/>
      <c r="AC31" s="109"/>
      <c r="AD31" s="109"/>
      <c r="AE31" s="109"/>
      <c r="AF31" s="109"/>
      <c r="AG31" s="109"/>
      <c r="AH31" s="109"/>
      <c r="AI31" s="109"/>
      <c r="AJ31" s="109"/>
      <c r="AK31" s="109"/>
      <c r="AL31" s="109"/>
      <c r="AM31" s="109"/>
      <c r="AN31" s="109"/>
      <c r="AO31" s="109"/>
      <c r="AP31" s="109"/>
      <c r="AS31" s="102"/>
    </row>
    <row r="32" spans="1:45" ht="15" customHeight="1" x14ac:dyDescent="0.2">
      <c r="A32" s="178"/>
      <c r="B32" s="298" t="str">
        <f>IF(B30=Y28,Y33,IF(B30=Y32, Y29,IF(B30=Y30,Y31,Y27)))</f>
        <v>See the resources in the box above for information about local climate conditions around the world</v>
      </c>
      <c r="C32" s="298"/>
      <c r="D32" s="298"/>
      <c r="E32" s="298"/>
      <c r="F32" s="298"/>
      <c r="G32" s="298"/>
      <c r="H32" s="298"/>
      <c r="I32" s="298"/>
      <c r="J32" s="298"/>
      <c r="K32" s="298"/>
      <c r="L32" s="298"/>
      <c r="M32" s="298"/>
      <c r="N32" s="298"/>
      <c r="O32" s="298"/>
      <c r="P32" s="298"/>
      <c r="Q32" s="298"/>
      <c r="R32" s="298"/>
      <c r="S32" s="298"/>
      <c r="T32" s="178"/>
      <c r="U32" s="106"/>
      <c r="X32" s="101" t="s">
        <v>209</v>
      </c>
      <c r="Y32" s="108" t="s">
        <v>166</v>
      </c>
      <c r="Z32" s="109"/>
      <c r="AA32" s="109"/>
      <c r="AB32" s="109"/>
      <c r="AC32" s="109"/>
      <c r="AD32" s="109"/>
      <c r="AE32" s="109"/>
      <c r="AF32" s="109"/>
      <c r="AG32" s="109"/>
      <c r="AH32" s="109"/>
      <c r="AI32" s="109"/>
      <c r="AJ32" s="109"/>
      <c r="AK32" s="109"/>
      <c r="AL32" s="109"/>
      <c r="AM32" s="109"/>
      <c r="AN32" s="109"/>
      <c r="AO32" s="109"/>
      <c r="AP32" s="109"/>
      <c r="AS32" s="102"/>
    </row>
    <row r="33" spans="1:45" ht="15" customHeight="1" x14ac:dyDescent="0.2">
      <c r="A33" s="178"/>
      <c r="B33" s="298"/>
      <c r="C33" s="298"/>
      <c r="D33" s="298"/>
      <c r="E33" s="298"/>
      <c r="F33" s="298"/>
      <c r="G33" s="298"/>
      <c r="H33" s="298"/>
      <c r="I33" s="298"/>
      <c r="J33" s="298"/>
      <c r="K33" s="298"/>
      <c r="L33" s="298"/>
      <c r="M33" s="298"/>
      <c r="N33" s="298"/>
      <c r="O33" s="298"/>
      <c r="P33" s="298"/>
      <c r="Q33" s="298"/>
      <c r="R33" s="298"/>
      <c r="S33" s="298"/>
      <c r="T33" s="178"/>
      <c r="U33" s="106"/>
      <c r="X33" s="101" t="s">
        <v>210</v>
      </c>
      <c r="Y33" s="108" t="s">
        <v>201</v>
      </c>
      <c r="AS33" s="102"/>
    </row>
    <row r="34" spans="1:45" ht="15" customHeight="1" x14ac:dyDescent="0.2">
      <c r="A34" s="179"/>
      <c r="B34" s="198"/>
      <c r="C34" s="198"/>
      <c r="D34" s="198"/>
      <c r="E34" s="198"/>
      <c r="F34" s="198"/>
      <c r="G34" s="198"/>
      <c r="H34" s="198"/>
      <c r="I34" s="198"/>
      <c r="J34" s="198"/>
      <c r="K34" s="198"/>
      <c r="L34" s="198"/>
      <c r="M34" s="198"/>
      <c r="N34" s="198"/>
      <c r="O34" s="198"/>
      <c r="P34" s="198"/>
      <c r="Q34" s="198"/>
      <c r="R34" s="198"/>
      <c r="S34" s="198"/>
      <c r="T34" s="179"/>
      <c r="U34" s="106"/>
      <c r="X34" s="101"/>
      <c r="AS34" s="102"/>
    </row>
    <row r="35" spans="1:45" ht="15" customHeight="1" x14ac:dyDescent="0.2">
      <c r="A35" s="178"/>
      <c r="B35" s="204"/>
      <c r="C35" s="204"/>
      <c r="D35" s="204"/>
      <c r="E35" s="204"/>
      <c r="F35" s="204"/>
      <c r="G35" s="204"/>
      <c r="H35" s="204"/>
      <c r="I35" s="204"/>
      <c r="J35" s="204"/>
      <c r="K35" s="204"/>
      <c r="L35" s="204"/>
      <c r="M35" s="204"/>
      <c r="N35" s="204"/>
      <c r="O35" s="204"/>
      <c r="P35" s="204"/>
      <c r="Q35" s="204"/>
      <c r="R35" s="204"/>
      <c r="S35" s="204"/>
      <c r="T35" s="178"/>
      <c r="U35" s="106"/>
      <c r="X35" s="101"/>
      <c r="AS35" s="102"/>
    </row>
    <row r="36" spans="1:45" ht="15" customHeight="1" x14ac:dyDescent="0.2">
      <c r="A36" s="178"/>
      <c r="B36" s="277" t="str">
        <f>Y38</f>
        <v>Section 2: Need for improved vegetable storage</v>
      </c>
      <c r="C36" s="277"/>
      <c r="D36" s="277"/>
      <c r="E36" s="277"/>
      <c r="F36" s="277"/>
      <c r="G36" s="277"/>
      <c r="H36" s="277"/>
      <c r="I36" s="204"/>
      <c r="J36" s="204"/>
      <c r="K36" s="204"/>
      <c r="L36" s="204"/>
      <c r="M36" s="204"/>
      <c r="N36" s="204"/>
      <c r="O36" s="204"/>
      <c r="P36" s="204"/>
      <c r="Q36" s="204"/>
      <c r="R36" s="204"/>
      <c r="S36" s="204"/>
      <c r="T36" s="178"/>
      <c r="U36" s="106"/>
      <c r="X36" s="101"/>
      <c r="AS36" s="102"/>
    </row>
    <row r="37" spans="1:45" ht="15" customHeight="1" x14ac:dyDescent="0.2">
      <c r="A37" s="178"/>
      <c r="B37" s="277"/>
      <c r="C37" s="277"/>
      <c r="D37" s="277"/>
      <c r="E37" s="277"/>
      <c r="F37" s="277"/>
      <c r="G37" s="277"/>
      <c r="H37" s="277"/>
      <c r="I37" s="204"/>
      <c r="J37" s="204"/>
      <c r="K37" s="204"/>
      <c r="L37" s="204"/>
      <c r="M37" s="204"/>
      <c r="N37" s="204"/>
      <c r="O37" s="204"/>
      <c r="P37" s="204"/>
      <c r="Q37" s="204"/>
      <c r="R37" s="204"/>
      <c r="S37" s="204"/>
      <c r="T37" s="178"/>
      <c r="U37" s="106"/>
      <c r="X37" s="101"/>
      <c r="AS37" s="102"/>
    </row>
    <row r="38" spans="1:45" ht="15" customHeight="1" x14ac:dyDescent="0.2">
      <c r="A38" s="178"/>
      <c r="B38" s="205"/>
      <c r="C38" s="205"/>
      <c r="D38" s="205"/>
      <c r="E38" s="205"/>
      <c r="F38" s="205"/>
      <c r="G38" s="205"/>
      <c r="H38" s="205"/>
      <c r="I38" s="205"/>
      <c r="J38" s="206"/>
      <c r="K38" s="206"/>
      <c r="L38" s="206"/>
      <c r="M38" s="206"/>
      <c r="N38" s="206"/>
      <c r="O38" s="206"/>
      <c r="P38" s="206"/>
      <c r="Q38" s="206"/>
      <c r="R38" s="206"/>
      <c r="S38" s="206"/>
      <c r="T38" s="178"/>
      <c r="U38" s="106"/>
      <c r="X38" s="101"/>
      <c r="Y38" s="100" t="s">
        <v>130</v>
      </c>
      <c r="Z38" s="109"/>
      <c r="AA38" s="109"/>
      <c r="AB38" s="109"/>
      <c r="AC38" s="109"/>
      <c r="AD38" s="109"/>
      <c r="AE38" s="109"/>
      <c r="AF38" s="109"/>
      <c r="AG38" s="109"/>
      <c r="AH38" s="109"/>
      <c r="AI38" s="109"/>
      <c r="AJ38" s="109"/>
      <c r="AK38" s="109"/>
      <c r="AL38" s="109"/>
      <c r="AM38" s="109"/>
      <c r="AN38" s="109"/>
      <c r="AO38" s="109"/>
      <c r="AP38" s="109"/>
      <c r="AS38" s="102"/>
    </row>
    <row r="39" spans="1:45" ht="73" customHeight="1" x14ac:dyDescent="0.2">
      <c r="A39" s="178"/>
      <c r="B39" s="375" t="s">
        <v>520</v>
      </c>
      <c r="C39" s="376"/>
      <c r="D39" s="376"/>
      <c r="E39" s="376"/>
      <c r="F39" s="376"/>
      <c r="G39" s="376"/>
      <c r="H39" s="377"/>
      <c r="I39" s="193"/>
      <c r="J39" s="385" t="s">
        <v>526</v>
      </c>
      <c r="K39" s="386"/>
      <c r="L39" s="386"/>
      <c r="M39" s="386"/>
      <c r="N39" s="386"/>
      <c r="O39" s="386"/>
      <c r="P39" s="386"/>
      <c r="Q39" s="386"/>
      <c r="R39" s="386"/>
      <c r="S39" s="387"/>
      <c r="T39" s="178"/>
      <c r="U39" s="106"/>
      <c r="W39" s="109"/>
      <c r="X39" s="101"/>
      <c r="AS39" s="102"/>
    </row>
    <row r="40" spans="1:45" ht="18" customHeight="1" x14ac:dyDescent="0.2">
      <c r="A40" s="178"/>
      <c r="B40" s="205"/>
      <c r="C40" s="205"/>
      <c r="D40" s="205"/>
      <c r="E40" s="205"/>
      <c r="F40" s="205"/>
      <c r="G40" s="205"/>
      <c r="H40" s="205"/>
      <c r="I40" s="205"/>
      <c r="J40" s="205"/>
      <c r="K40" s="205"/>
      <c r="L40" s="205"/>
      <c r="M40" s="205"/>
      <c r="N40" s="205"/>
      <c r="O40" s="205"/>
      <c r="P40" s="205"/>
      <c r="Q40" s="205"/>
      <c r="R40" s="205"/>
      <c r="S40" s="205"/>
      <c r="T40" s="178"/>
      <c r="U40" s="106"/>
      <c r="Y40" s="100" t="s">
        <v>134</v>
      </c>
      <c r="AS40" s="102"/>
    </row>
    <row r="41" spans="1:45" ht="14" customHeight="1" x14ac:dyDescent="0.2">
      <c r="A41" s="178"/>
      <c r="B41" s="383" t="str">
        <f>Y40</f>
        <v>For the questions below, only consider the types of vegetables that store well in evaporative cooling devices</v>
      </c>
      <c r="C41" s="383"/>
      <c r="D41" s="383"/>
      <c r="E41" s="383"/>
      <c r="F41" s="383"/>
      <c r="G41" s="383"/>
      <c r="H41" s="383"/>
      <c r="I41" s="383"/>
      <c r="J41" s="383"/>
      <c r="K41" s="383"/>
      <c r="L41" s="383"/>
      <c r="M41" s="383"/>
      <c r="N41" s="383"/>
      <c r="O41" s="383"/>
      <c r="P41" s="383"/>
      <c r="Q41" s="383"/>
      <c r="R41" s="383"/>
      <c r="S41" s="383"/>
      <c r="T41" s="178"/>
      <c r="U41" s="106"/>
      <c r="AS41" s="102"/>
    </row>
    <row r="42" spans="1:45" ht="14" customHeight="1" x14ac:dyDescent="0.2">
      <c r="A42" s="178"/>
      <c r="B42" s="383"/>
      <c r="C42" s="383"/>
      <c r="D42" s="383"/>
      <c r="E42" s="383"/>
      <c r="F42" s="383"/>
      <c r="G42" s="383"/>
      <c r="H42" s="383"/>
      <c r="I42" s="383"/>
      <c r="J42" s="383"/>
      <c r="K42" s="383"/>
      <c r="L42" s="383"/>
      <c r="M42" s="383"/>
      <c r="N42" s="383"/>
      <c r="O42" s="383"/>
      <c r="P42" s="383"/>
      <c r="Q42" s="383"/>
      <c r="R42" s="383"/>
      <c r="S42" s="383"/>
      <c r="T42" s="178"/>
      <c r="U42" s="106"/>
      <c r="X42" s="101"/>
      <c r="AS42" s="102"/>
    </row>
    <row r="43" spans="1:45" ht="108" customHeight="1" x14ac:dyDescent="0.2">
      <c r="A43" s="178"/>
      <c r="B43" s="312" t="str">
        <f>Calculations!E13</f>
        <v/>
      </c>
      <c r="C43" s="313"/>
      <c r="D43" s="381" t="str">
        <f>Calculations!E14</f>
        <v/>
      </c>
      <c r="E43" s="381"/>
      <c r="F43" s="381"/>
      <c r="G43" s="381"/>
      <c r="H43" s="381"/>
      <c r="I43" s="381"/>
      <c r="J43" s="296" t="s">
        <v>31</v>
      </c>
      <c r="K43" s="296"/>
      <c r="L43" s="307" t="str">
        <f>Calculations!E42</f>
        <v/>
      </c>
      <c r="M43" s="308"/>
      <c r="N43" s="309"/>
      <c r="O43" s="172"/>
      <c r="P43" s="172"/>
      <c r="Q43" s="172"/>
      <c r="R43" s="172"/>
      <c r="S43" s="172"/>
      <c r="T43" s="178"/>
      <c r="U43" s="106"/>
      <c r="X43" s="101"/>
      <c r="AS43" s="102"/>
    </row>
    <row r="44" spans="1:45" ht="72" customHeight="1" x14ac:dyDescent="0.2">
      <c r="A44" s="178"/>
      <c r="B44" s="284" t="str">
        <f>Calculations!G13</f>
        <v/>
      </c>
      <c r="C44" s="285"/>
      <c r="D44" s="382" t="str">
        <f>Calculations!G14</f>
        <v/>
      </c>
      <c r="E44" s="382"/>
      <c r="F44" s="382"/>
      <c r="G44" s="382"/>
      <c r="H44" s="382"/>
      <c r="I44" s="382"/>
      <c r="J44" s="310" t="s">
        <v>31</v>
      </c>
      <c r="K44" s="311"/>
      <c r="L44" s="307" t="str">
        <f>Calculations!G42</f>
        <v/>
      </c>
      <c r="M44" s="308"/>
      <c r="N44" s="309"/>
      <c r="O44" s="172"/>
      <c r="P44" s="172"/>
      <c r="Q44" s="172"/>
      <c r="R44" s="172"/>
      <c r="S44" s="172"/>
      <c r="T44" s="178"/>
      <c r="U44" s="106"/>
      <c r="X44" s="101"/>
      <c r="AS44" s="102"/>
    </row>
    <row r="45" spans="1:45" ht="15" customHeight="1" x14ac:dyDescent="0.2">
      <c r="A45" s="178"/>
      <c r="B45" s="178"/>
      <c r="C45" s="178"/>
      <c r="D45" s="178"/>
      <c r="E45" s="178"/>
      <c r="F45" s="178"/>
      <c r="G45" s="178"/>
      <c r="H45" s="178"/>
      <c r="I45" s="178"/>
      <c r="J45" s="178"/>
      <c r="K45" s="178"/>
      <c r="L45" s="178"/>
      <c r="M45" s="178"/>
      <c r="N45" s="178"/>
      <c r="O45" s="178"/>
      <c r="P45" s="178"/>
      <c r="Q45" s="178"/>
      <c r="R45" s="178"/>
      <c r="S45" s="172"/>
      <c r="T45" s="178"/>
      <c r="U45" s="106"/>
      <c r="X45" s="111" t="s">
        <v>211</v>
      </c>
      <c r="AS45" s="102"/>
    </row>
    <row r="46" spans="1:45" ht="15" customHeight="1" x14ac:dyDescent="0.2">
      <c r="A46" s="178"/>
      <c r="B46" s="297" t="str">
        <f>IF(J43="Yes", IF(L44="", X47, IF(J44="Yes", X48, IF(J44="No", X49, "error"))), IF(J43="No", X46, X45))</f>
        <v>Answer question #4 to continue</v>
      </c>
      <c r="C46" s="297"/>
      <c r="D46" s="297"/>
      <c r="E46" s="297"/>
      <c r="F46" s="297"/>
      <c r="G46" s="297"/>
      <c r="H46" s="297"/>
      <c r="I46" s="297"/>
      <c r="J46" s="297"/>
      <c r="K46" s="297"/>
      <c r="L46" s="297"/>
      <c r="M46" s="297"/>
      <c r="N46" s="297"/>
      <c r="O46" s="297"/>
      <c r="P46" s="297"/>
      <c r="Q46" s="297"/>
      <c r="R46" s="297"/>
      <c r="S46" s="297"/>
      <c r="T46" s="178"/>
      <c r="U46" s="106"/>
      <c r="X46" s="100" t="s">
        <v>212</v>
      </c>
      <c r="AS46" s="102"/>
    </row>
    <row r="47" spans="1:45" ht="15" customHeight="1" x14ac:dyDescent="0.2">
      <c r="A47" s="178"/>
      <c r="B47" s="297"/>
      <c r="C47" s="297"/>
      <c r="D47" s="297"/>
      <c r="E47" s="297"/>
      <c r="F47" s="297"/>
      <c r="G47" s="297"/>
      <c r="H47" s="297"/>
      <c r="I47" s="297"/>
      <c r="J47" s="297"/>
      <c r="K47" s="297"/>
      <c r="L47" s="297"/>
      <c r="M47" s="297"/>
      <c r="N47" s="297"/>
      <c r="O47" s="297"/>
      <c r="P47" s="297"/>
      <c r="Q47" s="297"/>
      <c r="R47" s="297"/>
      <c r="S47" s="297"/>
      <c r="T47" s="178"/>
      <c r="U47" s="106"/>
      <c r="X47" s="111" t="s">
        <v>200</v>
      </c>
      <c r="AS47" s="102"/>
    </row>
    <row r="48" spans="1:45" ht="15" customHeight="1" x14ac:dyDescent="0.2">
      <c r="A48" s="179"/>
      <c r="B48" s="180"/>
      <c r="C48" s="180"/>
      <c r="D48" s="180"/>
      <c r="E48" s="180"/>
      <c r="F48" s="180"/>
      <c r="G48" s="180"/>
      <c r="H48" s="180"/>
      <c r="I48" s="180"/>
      <c r="J48" s="180"/>
      <c r="K48" s="180"/>
      <c r="L48" s="180"/>
      <c r="M48" s="180"/>
      <c r="N48" s="180"/>
      <c r="O48" s="180"/>
      <c r="P48" s="180"/>
      <c r="Q48" s="180"/>
      <c r="R48" s="180"/>
      <c r="S48" s="180"/>
      <c r="T48" s="179"/>
      <c r="U48" s="106"/>
      <c r="X48" s="111" t="s">
        <v>250</v>
      </c>
      <c r="AS48" s="102"/>
    </row>
    <row r="49" spans="1:45" ht="15" customHeight="1" x14ac:dyDescent="0.2">
      <c r="A49" s="178"/>
      <c r="B49" s="181"/>
      <c r="C49" s="181"/>
      <c r="D49" s="181"/>
      <c r="E49" s="181"/>
      <c r="F49" s="181"/>
      <c r="G49" s="181"/>
      <c r="H49" s="181"/>
      <c r="I49" s="181"/>
      <c r="J49" s="181"/>
      <c r="K49" s="181"/>
      <c r="L49" s="181"/>
      <c r="M49" s="181"/>
      <c r="N49" s="181"/>
      <c r="O49" s="181"/>
      <c r="P49" s="181"/>
      <c r="Q49" s="181"/>
      <c r="R49" s="181"/>
      <c r="S49" s="181"/>
      <c r="T49" s="178"/>
      <c r="U49" s="106"/>
      <c r="X49" s="111" t="s">
        <v>267</v>
      </c>
      <c r="AS49" s="102"/>
    </row>
    <row r="50" spans="1:45" ht="15" customHeight="1" x14ac:dyDescent="0.2">
      <c r="A50" s="178"/>
      <c r="B50" s="272" t="s">
        <v>131</v>
      </c>
      <c r="C50" s="272"/>
      <c r="D50" s="272"/>
      <c r="E50" s="272"/>
      <c r="F50" s="272"/>
      <c r="G50" s="272"/>
      <c r="H50" s="272"/>
      <c r="I50" s="272"/>
      <c r="J50" s="272"/>
      <c r="K50" s="272"/>
      <c r="L50" s="272"/>
      <c r="M50" s="272"/>
      <c r="N50" s="272"/>
      <c r="O50" s="272"/>
      <c r="P50" s="272"/>
      <c r="Q50" s="272"/>
      <c r="R50" s="272"/>
      <c r="S50" s="272"/>
      <c r="T50" s="178"/>
      <c r="U50" s="106"/>
      <c r="X50" s="101"/>
      <c r="AS50" s="102"/>
    </row>
    <row r="51" spans="1:45" ht="15" customHeight="1" x14ac:dyDescent="0.2">
      <c r="A51" s="178"/>
      <c r="B51" s="272"/>
      <c r="C51" s="272"/>
      <c r="D51" s="272"/>
      <c r="E51" s="272"/>
      <c r="F51" s="272"/>
      <c r="G51" s="272"/>
      <c r="H51" s="272"/>
      <c r="I51" s="272"/>
      <c r="J51" s="272"/>
      <c r="K51" s="272"/>
      <c r="L51" s="272"/>
      <c r="M51" s="272"/>
      <c r="N51" s="272"/>
      <c r="O51" s="272"/>
      <c r="P51" s="272"/>
      <c r="Q51" s="272"/>
      <c r="R51" s="272"/>
      <c r="S51" s="272"/>
      <c r="T51" s="178"/>
      <c r="U51" s="106"/>
      <c r="X51" s="101"/>
      <c r="AS51" s="102"/>
    </row>
    <row r="52" spans="1:45" ht="15" customHeight="1" x14ac:dyDescent="0.2">
      <c r="A52" s="178"/>
      <c r="B52" s="182"/>
      <c r="C52" s="182"/>
      <c r="D52" s="182"/>
      <c r="E52" s="182"/>
      <c r="F52" s="182"/>
      <c r="G52" s="182"/>
      <c r="H52" s="182"/>
      <c r="I52" s="182"/>
      <c r="J52" s="182"/>
      <c r="K52" s="182"/>
      <c r="L52" s="182"/>
      <c r="M52" s="182"/>
      <c r="N52" s="182"/>
      <c r="O52" s="182"/>
      <c r="P52" s="182"/>
      <c r="Q52" s="182"/>
      <c r="R52" s="182"/>
      <c r="S52" s="182"/>
      <c r="T52" s="178"/>
      <c r="U52" s="106"/>
      <c r="X52" s="101"/>
      <c r="AS52" s="102"/>
    </row>
    <row r="53" spans="1:45" ht="15" customHeight="1" x14ac:dyDescent="0.2">
      <c r="A53" s="178"/>
      <c r="B53" s="183"/>
      <c r="C53" s="184"/>
      <c r="D53" s="326" t="str">
        <f>IF(AA22="no*", "","Item description")</f>
        <v/>
      </c>
      <c r="E53" s="327"/>
      <c r="F53" s="327"/>
      <c r="G53" s="327"/>
      <c r="H53" s="328"/>
      <c r="I53" s="292" t="str">
        <f>IF(AA22="no*", "","Cost ("&amp;M53&amp;")")</f>
        <v/>
      </c>
      <c r="J53" s="178"/>
      <c r="K53" s="384" t="s">
        <v>87</v>
      </c>
      <c r="L53" s="384"/>
      <c r="M53" s="372" t="s">
        <v>281</v>
      </c>
      <c r="N53" s="185"/>
      <c r="O53" s="178"/>
      <c r="P53" s="178"/>
      <c r="Q53" s="178"/>
      <c r="R53" s="178"/>
      <c r="S53" s="172"/>
      <c r="T53" s="178"/>
      <c r="U53" s="106"/>
      <c r="X53" s="101"/>
      <c r="AS53" s="102"/>
    </row>
    <row r="54" spans="1:45" ht="15" customHeight="1" x14ac:dyDescent="0.2">
      <c r="A54" s="178"/>
      <c r="B54" s="186"/>
      <c r="C54" s="187"/>
      <c r="D54" s="388"/>
      <c r="E54" s="389"/>
      <c r="F54" s="389"/>
      <c r="G54" s="389"/>
      <c r="H54" s="390"/>
      <c r="I54" s="293"/>
      <c r="J54" s="178"/>
      <c r="K54" s="384"/>
      <c r="L54" s="384"/>
      <c r="M54" s="373"/>
      <c r="N54" s="185"/>
      <c r="O54" s="178"/>
      <c r="P54" s="178"/>
      <c r="Q54" s="178"/>
      <c r="R54" s="178"/>
      <c r="S54" s="172"/>
      <c r="T54" s="178"/>
      <c r="U54" s="106"/>
      <c r="X54" s="101"/>
      <c r="Z54" s="100" t="s">
        <v>252</v>
      </c>
      <c r="AE54" s="100" t="s">
        <v>274</v>
      </c>
      <c r="AS54" s="102"/>
    </row>
    <row r="55" spans="1:45" ht="15" customHeight="1" x14ac:dyDescent="0.2">
      <c r="A55" s="178" t="str">
        <f>""</f>
        <v/>
      </c>
      <c r="B55" s="294" t="str">
        <f>Calculations!J13</f>
        <v/>
      </c>
      <c r="C55" s="295"/>
      <c r="D55" s="256" t="str">
        <f>IF(B$55=A$55, "",(IF(Calculations!G$29=Calculations!G$22,'Decision making tool'!Z55,IF(Calculations!G$29=Calculations!G$23,'Decision making tool'!AE55,""))))</f>
        <v/>
      </c>
      <c r="E55" s="257"/>
      <c r="F55" s="257"/>
      <c r="G55" s="257"/>
      <c r="H55" s="258"/>
      <c r="I55" s="188"/>
      <c r="J55" s="189"/>
      <c r="K55" s="185"/>
      <c r="L55" s="185"/>
      <c r="M55" s="190"/>
      <c r="N55" s="190"/>
      <c r="O55" s="178"/>
      <c r="P55" s="178"/>
      <c r="Q55" s="178"/>
      <c r="R55" s="178"/>
      <c r="S55" s="172"/>
      <c r="T55" s="178"/>
      <c r="U55" s="106"/>
      <c r="X55" s="112">
        <f>IF(I55="", 0, 1)</f>
        <v>0</v>
      </c>
      <c r="Y55" s="113">
        <f>I55</f>
        <v>0</v>
      </c>
      <c r="Z55" s="114" t="s">
        <v>262</v>
      </c>
      <c r="AA55" s="115"/>
      <c r="AB55" s="115"/>
      <c r="AC55" s="116"/>
      <c r="AE55" s="114" t="s">
        <v>257</v>
      </c>
      <c r="AF55" s="115"/>
      <c r="AG55" s="117"/>
      <c r="AH55" s="118"/>
      <c r="AS55" s="102"/>
    </row>
    <row r="56" spans="1:45" ht="15" customHeight="1" x14ac:dyDescent="0.2">
      <c r="A56" s="178"/>
      <c r="B56" s="336"/>
      <c r="C56" s="337"/>
      <c r="D56" s="259" t="str">
        <f>IF(B$55=A$55, "",(IF(Calculations!G$29=Calculations!G$22,'Decision making tool'!Z56,IF(Calculations!G$29=Calculations!G$23,'Decision making tool'!AE56,""))))</f>
        <v/>
      </c>
      <c r="E56" s="260"/>
      <c r="F56" s="260"/>
      <c r="G56" s="260"/>
      <c r="H56" s="261"/>
      <c r="I56" s="188"/>
      <c r="J56" s="189"/>
      <c r="K56" s="185"/>
      <c r="L56" s="185"/>
      <c r="M56" s="190"/>
      <c r="N56" s="190"/>
      <c r="O56" s="178"/>
      <c r="P56" s="178"/>
      <c r="Q56" s="178"/>
      <c r="R56" s="178"/>
      <c r="S56" s="172"/>
      <c r="T56" s="178"/>
      <c r="U56" s="106"/>
      <c r="X56" s="112">
        <f>IF(I56="", 0, 1)</f>
        <v>0</v>
      </c>
      <c r="Y56" s="113">
        <f>I56</f>
        <v>0</v>
      </c>
      <c r="Z56" s="119" t="s">
        <v>263</v>
      </c>
      <c r="AA56" s="120"/>
      <c r="AB56" s="120"/>
      <c r="AC56" s="121"/>
      <c r="AE56" s="119" t="s">
        <v>258</v>
      </c>
      <c r="AF56" s="120"/>
      <c r="AG56" s="122"/>
      <c r="AH56" s="123"/>
      <c r="AS56" s="124"/>
    </row>
    <row r="57" spans="1:45" ht="15" customHeight="1" x14ac:dyDescent="0.2">
      <c r="A57" s="178"/>
      <c r="B57" s="336"/>
      <c r="C57" s="337"/>
      <c r="D57" s="259" t="str">
        <f>IF(B$55=A$55, "",(IF(Calculations!G$29=Calculations!G$22,'Decision making tool'!Z57,IF(Calculations!G$29=Calculations!G$23,'Decision making tool'!AE57,""))))</f>
        <v/>
      </c>
      <c r="E57" s="260"/>
      <c r="F57" s="260"/>
      <c r="G57" s="260"/>
      <c r="H57" s="261"/>
      <c r="I57" s="188"/>
      <c r="J57" s="189"/>
      <c r="K57" s="247" t="str">
        <f>IF(Calculations!G29=Calculations!G22,AJ57,IF(Calculations!G29=Calculations!G23,AJ58,""))</f>
        <v/>
      </c>
      <c r="L57" s="248"/>
      <c r="M57" s="248"/>
      <c r="N57" s="248"/>
      <c r="O57" s="248"/>
      <c r="P57" s="248"/>
      <c r="Q57" s="249"/>
      <c r="R57" s="178"/>
      <c r="S57" s="172"/>
      <c r="T57" s="178"/>
      <c r="U57" s="106"/>
      <c r="X57" s="112">
        <f>IF(I57="", 0, 1)</f>
        <v>0</v>
      </c>
      <c r="Y57" s="113">
        <f>I57</f>
        <v>0</v>
      </c>
      <c r="Z57" s="119" t="s">
        <v>264</v>
      </c>
      <c r="AA57" s="120"/>
      <c r="AB57" s="120"/>
      <c r="AC57" s="121"/>
      <c r="AE57" s="119" t="s">
        <v>259</v>
      </c>
      <c r="AF57" s="120"/>
      <c r="AG57" s="122"/>
      <c r="AH57" s="123"/>
      <c r="AJ57" s="108" t="s">
        <v>530</v>
      </c>
      <c r="AK57" s="108"/>
      <c r="AL57" s="108"/>
      <c r="AM57" s="108"/>
      <c r="AN57" s="108"/>
      <c r="AO57" s="108"/>
      <c r="AP57" s="108"/>
      <c r="AQ57" s="108"/>
      <c r="AR57" s="108"/>
      <c r="AS57" s="124"/>
    </row>
    <row r="58" spans="1:45" ht="15" customHeight="1" x14ac:dyDescent="0.2">
      <c r="A58" s="178"/>
      <c r="B58" s="336"/>
      <c r="C58" s="337"/>
      <c r="D58" s="259" t="str">
        <f>IF(B$55=A$55, "",(IF(Calculations!G$29=Calculations!G$22,'Decision making tool'!Z58,IF(Calculations!G$29=Calculations!G$23,'Decision making tool'!AE58,""))))</f>
        <v/>
      </c>
      <c r="E58" s="260"/>
      <c r="F58" s="260"/>
      <c r="G58" s="260"/>
      <c r="H58" s="261"/>
      <c r="I58" s="188"/>
      <c r="J58" s="189"/>
      <c r="K58" s="250"/>
      <c r="L58" s="251"/>
      <c r="M58" s="251"/>
      <c r="N58" s="251"/>
      <c r="O58" s="251"/>
      <c r="P58" s="251"/>
      <c r="Q58" s="252"/>
      <c r="R58" s="178"/>
      <c r="S58" s="172"/>
      <c r="T58" s="178"/>
      <c r="U58" s="106"/>
      <c r="X58" s="112">
        <f>IF(I58="", 0, 1)</f>
        <v>0</v>
      </c>
      <c r="Y58" s="113">
        <f>I58</f>
        <v>0</v>
      </c>
      <c r="Z58" s="119" t="s">
        <v>265</v>
      </c>
      <c r="AA58" s="120"/>
      <c r="AB58" s="120"/>
      <c r="AC58" s="121"/>
      <c r="AE58" s="119" t="s">
        <v>260</v>
      </c>
      <c r="AF58" s="120"/>
      <c r="AG58" s="122"/>
      <c r="AH58" s="123"/>
      <c r="AJ58" s="108" t="s">
        <v>531</v>
      </c>
      <c r="AK58" s="108"/>
      <c r="AL58" s="108"/>
      <c r="AM58" s="108"/>
      <c r="AN58" s="108"/>
      <c r="AO58" s="108"/>
      <c r="AP58" s="108"/>
      <c r="AQ58" s="108"/>
      <c r="AR58" s="108"/>
      <c r="AS58" s="124"/>
    </row>
    <row r="59" spans="1:45" ht="15" customHeight="1" x14ac:dyDescent="0.2">
      <c r="A59" s="178"/>
      <c r="B59" s="378"/>
      <c r="C59" s="379"/>
      <c r="D59" s="413" t="str">
        <f>IF(B$55=A$55, "",(IF(Calculations!G$29=Calculations!G$22,'Decision making tool'!Z59,IF(Calculations!G$29=Calculations!G$23,'Decision making tool'!AE59,""))))</f>
        <v/>
      </c>
      <c r="E59" s="414"/>
      <c r="F59" s="414"/>
      <c r="G59" s="414"/>
      <c r="H59" s="415"/>
      <c r="I59" s="188"/>
      <c r="J59" s="189"/>
      <c r="K59" s="244" t="s">
        <v>528</v>
      </c>
      <c r="L59" s="245"/>
      <c r="M59" s="245"/>
      <c r="N59" s="245"/>
      <c r="O59" s="245"/>
      <c r="P59" s="245"/>
      <c r="Q59" s="246"/>
      <c r="R59" s="178"/>
      <c r="S59" s="172"/>
      <c r="T59" s="178"/>
      <c r="U59" s="106"/>
      <c r="X59" s="112">
        <f>IF(I59="", 0, 1)</f>
        <v>0</v>
      </c>
      <c r="Y59" s="113">
        <f>I59</f>
        <v>0</v>
      </c>
      <c r="Z59" s="119" t="s">
        <v>266</v>
      </c>
      <c r="AA59" s="120"/>
      <c r="AB59" s="120"/>
      <c r="AC59" s="121"/>
      <c r="AE59" s="119" t="s">
        <v>261</v>
      </c>
      <c r="AF59" s="120"/>
      <c r="AG59" s="122"/>
      <c r="AH59" s="123"/>
      <c r="AS59" s="124"/>
    </row>
    <row r="60" spans="1:45" ht="15" customHeight="1" x14ac:dyDescent="0.2">
      <c r="A60" s="178"/>
      <c r="B60" s="342" t="str">
        <f>IF(AA22="no*", "",IF(J44="no","Total cost of a brick evaporative cooling chamber", IF(J44="yes","Total cost of a clay pot cooler", "")))</f>
        <v/>
      </c>
      <c r="C60" s="358"/>
      <c r="D60" s="358"/>
      <c r="E60" s="358"/>
      <c r="F60" s="358"/>
      <c r="G60" s="358"/>
      <c r="H60" s="359"/>
      <c r="I60" s="191" t="str">
        <f>IF(AA22="no*", "", SUM(Y55:Y59))</f>
        <v/>
      </c>
      <c r="J60" s="178"/>
      <c r="K60" s="178"/>
      <c r="L60" s="178"/>
      <c r="M60" s="178"/>
      <c r="N60" s="178"/>
      <c r="O60" s="178"/>
      <c r="P60" s="178"/>
      <c r="Q60" s="178"/>
      <c r="R60" s="178"/>
      <c r="S60" s="172"/>
      <c r="T60" s="178"/>
      <c r="U60" s="106"/>
      <c r="X60" s="125">
        <f>SUM(X55:X59)</f>
        <v>0</v>
      </c>
      <c r="AS60" s="124"/>
    </row>
    <row r="61" spans="1:45" ht="15" customHeight="1" x14ac:dyDescent="0.2">
      <c r="A61" s="178"/>
      <c r="B61" s="178"/>
      <c r="C61" s="178"/>
      <c r="D61" s="178"/>
      <c r="E61" s="178"/>
      <c r="F61" s="178"/>
      <c r="G61" s="192"/>
      <c r="H61" s="178"/>
      <c r="I61" s="192"/>
      <c r="J61" s="178"/>
      <c r="K61" s="178"/>
      <c r="L61" s="178"/>
      <c r="M61" s="178"/>
      <c r="N61" s="178"/>
      <c r="O61" s="178"/>
      <c r="P61" s="178"/>
      <c r="Q61" s="178"/>
      <c r="R61" s="178"/>
      <c r="S61" s="172"/>
      <c r="T61" s="178"/>
      <c r="U61" s="106"/>
      <c r="X61" s="101"/>
      <c r="AS61" s="124"/>
    </row>
    <row r="62" spans="1:45" ht="15" customHeight="1" x14ac:dyDescent="0.2">
      <c r="A62" s="178"/>
      <c r="B62" s="273" t="str">
        <f>IF(L44="","",IF(X60=5,Y62,Y64))</f>
        <v/>
      </c>
      <c r="C62" s="273"/>
      <c r="D62" s="273"/>
      <c r="E62" s="273"/>
      <c r="F62" s="273"/>
      <c r="G62" s="273"/>
      <c r="H62" s="273"/>
      <c r="I62" s="273"/>
      <c r="J62" s="273"/>
      <c r="K62" s="273"/>
      <c r="L62" s="273"/>
      <c r="M62" s="273"/>
      <c r="N62" s="273"/>
      <c r="O62" s="273"/>
      <c r="P62" s="273"/>
      <c r="Q62" s="273"/>
      <c r="R62" s="273"/>
      <c r="S62" s="273"/>
      <c r="T62" s="178"/>
      <c r="U62" s="106"/>
      <c r="X62" s="101" t="s">
        <v>168</v>
      </c>
      <c r="Y62" s="100" t="s">
        <v>216</v>
      </c>
      <c r="AS62" s="124"/>
    </row>
    <row r="63" spans="1:45" ht="15" customHeight="1" x14ac:dyDescent="0.2">
      <c r="A63" s="178"/>
      <c r="B63" s="273"/>
      <c r="C63" s="273"/>
      <c r="D63" s="273"/>
      <c r="E63" s="273"/>
      <c r="F63" s="273"/>
      <c r="G63" s="273"/>
      <c r="H63" s="273"/>
      <c r="I63" s="273"/>
      <c r="J63" s="273"/>
      <c r="K63" s="273"/>
      <c r="L63" s="273"/>
      <c r="M63" s="273"/>
      <c r="N63" s="273"/>
      <c r="O63" s="273"/>
      <c r="P63" s="273"/>
      <c r="Q63" s="273"/>
      <c r="R63" s="273"/>
      <c r="S63" s="273"/>
      <c r="T63" s="178"/>
      <c r="U63" s="106"/>
      <c r="X63" s="101" t="s">
        <v>170</v>
      </c>
      <c r="Y63" s="100" t="str">
        <f>""</f>
        <v/>
      </c>
      <c r="AS63" s="124"/>
    </row>
    <row r="64" spans="1:45" ht="15" customHeight="1" x14ac:dyDescent="0.2">
      <c r="A64" s="178"/>
      <c r="B64" s="298" t="str">
        <f>IF(L44="","",IF(X60=5,Y63,Y65))</f>
        <v/>
      </c>
      <c r="C64" s="298"/>
      <c r="D64" s="298"/>
      <c r="E64" s="298"/>
      <c r="F64" s="298"/>
      <c r="G64" s="298"/>
      <c r="H64" s="298"/>
      <c r="I64" s="298"/>
      <c r="J64" s="298"/>
      <c r="K64" s="298"/>
      <c r="L64" s="298"/>
      <c r="M64" s="298"/>
      <c r="N64" s="298"/>
      <c r="O64" s="298"/>
      <c r="P64" s="298"/>
      <c r="Q64" s="298"/>
      <c r="R64" s="298"/>
      <c r="S64" s="298"/>
      <c r="T64" s="178"/>
      <c r="U64" s="106"/>
      <c r="X64" s="101" t="s">
        <v>169</v>
      </c>
      <c r="Y64" s="100" t="s">
        <v>199</v>
      </c>
      <c r="AS64" s="124"/>
    </row>
    <row r="65" spans="1:45" ht="15" customHeight="1" x14ac:dyDescent="0.2">
      <c r="A65" s="178"/>
      <c r="B65" s="298"/>
      <c r="C65" s="298"/>
      <c r="D65" s="298"/>
      <c r="E65" s="298"/>
      <c r="F65" s="298"/>
      <c r="G65" s="298"/>
      <c r="H65" s="298"/>
      <c r="I65" s="298"/>
      <c r="J65" s="298"/>
      <c r="K65" s="298"/>
      <c r="L65" s="298"/>
      <c r="M65" s="298"/>
      <c r="N65" s="298"/>
      <c r="O65" s="298"/>
      <c r="P65" s="298"/>
      <c r="Q65" s="298"/>
      <c r="R65" s="298"/>
      <c r="S65" s="298"/>
      <c r="T65" s="178"/>
      <c r="U65" s="106"/>
      <c r="X65" s="101" t="s">
        <v>171</v>
      </c>
      <c r="Y65" s="100" t="s">
        <v>213</v>
      </c>
      <c r="AS65" s="102"/>
    </row>
    <row r="66" spans="1:45" s="129" customFormat="1" ht="15" customHeight="1" x14ac:dyDescent="0.2">
      <c r="A66" s="179"/>
      <c r="B66" s="179"/>
      <c r="C66" s="179"/>
      <c r="D66" s="195"/>
      <c r="E66" s="195"/>
      <c r="F66" s="195"/>
      <c r="G66" s="195"/>
      <c r="H66" s="195"/>
      <c r="I66" s="195"/>
      <c r="J66" s="179"/>
      <c r="K66" s="179"/>
      <c r="L66" s="179"/>
      <c r="M66" s="179"/>
      <c r="N66" s="179"/>
      <c r="O66" s="179"/>
      <c r="P66" s="179"/>
      <c r="Q66" s="179"/>
      <c r="R66" s="179"/>
      <c r="S66" s="194"/>
      <c r="T66" s="179"/>
      <c r="U66" s="106"/>
      <c r="X66" s="130" t="s">
        <v>238</v>
      </c>
      <c r="Y66" s="129" t="s">
        <v>240</v>
      </c>
      <c r="AS66" s="131"/>
    </row>
    <row r="67" spans="1:45" ht="15" customHeight="1" x14ac:dyDescent="0.2">
      <c r="A67" s="178"/>
      <c r="B67" s="178"/>
      <c r="C67" s="178"/>
      <c r="D67" s="192"/>
      <c r="E67" s="192"/>
      <c r="F67" s="192"/>
      <c r="G67" s="192"/>
      <c r="H67" s="192"/>
      <c r="I67" s="192"/>
      <c r="J67" s="178"/>
      <c r="K67" s="178"/>
      <c r="L67" s="178"/>
      <c r="M67" s="178"/>
      <c r="N67" s="178"/>
      <c r="O67" s="178"/>
      <c r="P67" s="178"/>
      <c r="Q67" s="178"/>
      <c r="R67" s="178"/>
      <c r="S67" s="172"/>
      <c r="T67" s="178"/>
      <c r="U67" s="106"/>
      <c r="X67" s="101" t="s">
        <v>239</v>
      </c>
      <c r="Y67" s="100" t="s">
        <v>240</v>
      </c>
      <c r="AS67" s="102"/>
    </row>
    <row r="68" spans="1:45" ht="15" customHeight="1" x14ac:dyDescent="0.2">
      <c r="A68" s="178"/>
      <c r="B68" s="272" t="s">
        <v>217</v>
      </c>
      <c r="C68" s="272"/>
      <c r="D68" s="272"/>
      <c r="E68" s="272"/>
      <c r="F68" s="272"/>
      <c r="G68" s="272"/>
      <c r="H68" s="272"/>
      <c r="I68" s="272"/>
      <c r="J68" s="272"/>
      <c r="K68" s="272"/>
      <c r="L68" s="272"/>
      <c r="M68" s="272"/>
      <c r="N68" s="272"/>
      <c r="O68" s="272"/>
      <c r="P68" s="272"/>
      <c r="Q68" s="272"/>
      <c r="R68" s="272"/>
      <c r="S68" s="272"/>
      <c r="T68" s="178"/>
      <c r="U68" s="106"/>
      <c r="X68" s="101"/>
      <c r="AS68" s="102"/>
    </row>
    <row r="69" spans="1:45" ht="15" customHeight="1" x14ac:dyDescent="0.2">
      <c r="A69" s="178"/>
      <c r="B69" s="272"/>
      <c r="C69" s="272"/>
      <c r="D69" s="272"/>
      <c r="E69" s="272"/>
      <c r="F69" s="272"/>
      <c r="G69" s="272"/>
      <c r="H69" s="272"/>
      <c r="I69" s="272"/>
      <c r="J69" s="272"/>
      <c r="K69" s="272"/>
      <c r="L69" s="272"/>
      <c r="M69" s="272"/>
      <c r="N69" s="272"/>
      <c r="O69" s="272"/>
      <c r="P69" s="272"/>
      <c r="Q69" s="272"/>
      <c r="R69" s="272"/>
      <c r="S69" s="272"/>
      <c r="T69" s="178"/>
      <c r="U69" s="106"/>
      <c r="X69" s="101"/>
      <c r="AS69" s="102"/>
    </row>
    <row r="70" spans="1:45" ht="15" customHeight="1" x14ac:dyDescent="0.2">
      <c r="A70" s="178"/>
      <c r="B70" s="178"/>
      <c r="C70" s="178"/>
      <c r="D70" s="192"/>
      <c r="E70" s="192"/>
      <c r="F70" s="192"/>
      <c r="G70" s="192"/>
      <c r="H70" s="192"/>
      <c r="I70" s="192"/>
      <c r="J70" s="178"/>
      <c r="K70" s="178"/>
      <c r="L70" s="178"/>
      <c r="M70" s="178"/>
      <c r="N70" s="178"/>
      <c r="O70" s="178"/>
      <c r="P70" s="178"/>
      <c r="Q70" s="178"/>
      <c r="R70" s="178"/>
      <c r="S70" s="172"/>
      <c r="T70" s="178"/>
      <c r="U70" s="106"/>
      <c r="X70" s="101"/>
      <c r="AS70" s="102"/>
    </row>
    <row r="71" spans="1:45" ht="18" customHeight="1" x14ac:dyDescent="0.2">
      <c r="A71" s="178"/>
      <c r="B71" s="345" t="str">
        <f>IF(B76=B74,"", Y71)</f>
        <v/>
      </c>
      <c r="C71" s="345"/>
      <c r="D71" s="345"/>
      <c r="E71" s="345"/>
      <c r="F71" s="345"/>
      <c r="G71" s="345"/>
      <c r="H71" s="345"/>
      <c r="I71" s="345"/>
      <c r="J71" s="345"/>
      <c r="K71" s="345"/>
      <c r="L71" s="345"/>
      <c r="M71" s="345"/>
      <c r="N71" s="193"/>
      <c r="O71" s="193"/>
      <c r="P71" s="193"/>
      <c r="Q71" s="193"/>
      <c r="R71" s="193"/>
      <c r="S71" s="193"/>
      <c r="T71" s="178"/>
      <c r="U71" s="106"/>
      <c r="X71" s="101"/>
      <c r="Y71" s="335" t="s">
        <v>276</v>
      </c>
      <c r="Z71" s="335"/>
      <c r="AA71" s="335"/>
      <c r="AB71" s="335"/>
      <c r="AC71" s="335"/>
      <c r="AD71" s="335"/>
      <c r="AE71" s="335"/>
      <c r="AF71" s="335"/>
      <c r="AG71" s="335"/>
      <c r="AH71" s="335"/>
      <c r="AI71" s="335"/>
      <c r="AJ71" s="335"/>
      <c r="AS71" s="102"/>
    </row>
    <row r="72" spans="1:45" ht="18" customHeight="1" x14ac:dyDescent="0.2">
      <c r="A72" s="178"/>
      <c r="B72" s="345" t="str">
        <f>IF(B76=B74,"", Y72)</f>
        <v/>
      </c>
      <c r="C72" s="345"/>
      <c r="D72" s="345"/>
      <c r="E72" s="345"/>
      <c r="F72" s="345"/>
      <c r="G72" s="345"/>
      <c r="H72" s="345"/>
      <c r="I72" s="345"/>
      <c r="J72" s="345"/>
      <c r="K72" s="345"/>
      <c r="L72" s="345"/>
      <c r="M72" s="345"/>
      <c r="N72" s="193"/>
      <c r="O72" s="193"/>
      <c r="P72" s="193"/>
      <c r="Q72" s="193"/>
      <c r="R72" s="193"/>
      <c r="S72" s="193"/>
      <c r="T72" s="178"/>
      <c r="U72" s="106"/>
      <c r="X72" s="101"/>
      <c r="Y72" s="335" t="s">
        <v>277</v>
      </c>
      <c r="Z72" s="335"/>
      <c r="AA72" s="335"/>
      <c r="AB72" s="335"/>
      <c r="AC72" s="335"/>
      <c r="AD72" s="335"/>
      <c r="AE72" s="335"/>
      <c r="AF72" s="335"/>
      <c r="AG72" s="335"/>
      <c r="AH72" s="335"/>
      <c r="AI72" s="335"/>
      <c r="AJ72" s="335"/>
      <c r="AS72" s="102"/>
    </row>
    <row r="73" spans="1:45" ht="15" customHeight="1" x14ac:dyDescent="0.2">
      <c r="A73" s="178"/>
      <c r="B73" s="178"/>
      <c r="C73" s="178"/>
      <c r="D73" s="178"/>
      <c r="E73" s="178"/>
      <c r="F73" s="178"/>
      <c r="G73" s="178"/>
      <c r="H73" s="178"/>
      <c r="I73" s="178"/>
      <c r="J73" s="178"/>
      <c r="K73" s="178"/>
      <c r="L73" s="178"/>
      <c r="M73" s="178"/>
      <c r="N73" s="178"/>
      <c r="O73" s="178"/>
      <c r="P73" s="178"/>
      <c r="Q73" s="178"/>
      <c r="R73" s="178"/>
      <c r="S73" s="172"/>
      <c r="T73" s="178"/>
      <c r="U73" s="106"/>
      <c r="X73" s="101"/>
      <c r="AS73" s="102"/>
    </row>
    <row r="74" spans="1:45" ht="15" customHeight="1" x14ac:dyDescent="0.2">
      <c r="A74" s="178"/>
      <c r="B74" s="262" t="str">
        <f>Calculations!F6</f>
        <v/>
      </c>
      <c r="C74" s="263"/>
      <c r="D74" s="266" t="str">
        <f>IF(B76=B74,"","Item description (what could be avoided with improved vegetable storage)")</f>
        <v/>
      </c>
      <c r="E74" s="267"/>
      <c r="F74" s="268"/>
      <c r="G74" s="326" t="str">
        <f>IF(B76=B74,"","Enter the amount of money spent per month for each item ("&amp;M53&amp;")")</f>
        <v/>
      </c>
      <c r="H74" s="327"/>
      <c r="I74" s="327"/>
      <c r="J74" s="327"/>
      <c r="K74" s="327"/>
      <c r="L74" s="327"/>
      <c r="M74" s="327"/>
      <c r="N74" s="327"/>
      <c r="O74" s="327"/>
      <c r="P74" s="327"/>
      <c r="Q74" s="327"/>
      <c r="R74" s="328"/>
      <c r="S74" s="172"/>
      <c r="T74" s="178"/>
      <c r="U74" s="106"/>
      <c r="X74" s="101"/>
      <c r="AS74" s="102"/>
    </row>
    <row r="75" spans="1:45" ht="15" customHeight="1" x14ac:dyDescent="0.2">
      <c r="A75" s="178"/>
      <c r="B75" s="264"/>
      <c r="C75" s="265"/>
      <c r="D75" s="269"/>
      <c r="E75" s="270"/>
      <c r="F75" s="271"/>
      <c r="G75" s="173" t="str">
        <f>IF(Calculations!$E51=0, "", Calculations!G75)</f>
        <v/>
      </c>
      <c r="H75" s="173" t="str">
        <f>IF(Calculations!$E51=0, "", Calculations!H75)</f>
        <v/>
      </c>
      <c r="I75" s="173" t="str">
        <f>IF(Calculations!$E51=0, "", Calculations!I75)</f>
        <v/>
      </c>
      <c r="J75" s="173" t="str">
        <f>IF(Calculations!$E51=0, "", Calculations!J75)</f>
        <v/>
      </c>
      <c r="K75" s="173" t="str">
        <f>IF(Calculations!$E51=0, "", Calculations!K75)</f>
        <v/>
      </c>
      <c r="L75" s="173" t="str">
        <f>IF(Calculations!$E51=0, "", Calculations!L75)</f>
        <v/>
      </c>
      <c r="M75" s="173" t="str">
        <f>IF(Calculations!$E51=0, "", Calculations!M75)</f>
        <v/>
      </c>
      <c r="N75" s="173" t="str">
        <f>IF(Calculations!$E51=0, "", Calculations!N75)</f>
        <v/>
      </c>
      <c r="O75" s="173" t="str">
        <f>IF(Calculations!$E51=0, "", Calculations!O75)</f>
        <v/>
      </c>
      <c r="P75" s="173" t="str">
        <f>IF(Calculations!$E51=0, "", Calculations!P75)</f>
        <v/>
      </c>
      <c r="Q75" s="173" t="str">
        <f>IF(Calculations!$E51=0, "", Calculations!Q75)</f>
        <v/>
      </c>
      <c r="R75" s="174" t="str">
        <f>IF(Calculations!$E51=0, "", Calculations!R75)</f>
        <v/>
      </c>
      <c r="S75" s="172"/>
      <c r="T75" s="178"/>
      <c r="U75" s="106"/>
      <c r="X75" s="101"/>
      <c r="Y75" s="126" t="str">
        <f t="shared" ref="Y75:AI78" si="0">G75</f>
        <v/>
      </c>
      <c r="Z75" s="126" t="str">
        <f t="shared" si="0"/>
        <v/>
      </c>
      <c r="AA75" s="126" t="str">
        <f t="shared" si="0"/>
        <v/>
      </c>
      <c r="AB75" s="126" t="str">
        <f t="shared" si="0"/>
        <v/>
      </c>
      <c r="AC75" s="126" t="str">
        <f t="shared" si="0"/>
        <v/>
      </c>
      <c r="AD75" s="126" t="str">
        <f t="shared" si="0"/>
        <v/>
      </c>
      <c r="AE75" s="126" t="str">
        <f t="shared" si="0"/>
        <v/>
      </c>
      <c r="AF75" s="126" t="str">
        <f t="shared" si="0"/>
        <v/>
      </c>
      <c r="AG75" s="126" t="str">
        <f t="shared" si="0"/>
        <v/>
      </c>
      <c r="AH75" s="126" t="str">
        <f t="shared" si="0"/>
        <v/>
      </c>
      <c r="AI75" s="126" t="str">
        <f t="shared" si="0"/>
        <v/>
      </c>
      <c r="AJ75" s="126" t="str">
        <f>R75</f>
        <v/>
      </c>
      <c r="AS75" s="102"/>
    </row>
    <row r="76" spans="1:45" ht="15" customHeight="1" x14ac:dyDescent="0.2">
      <c r="A76" s="178"/>
      <c r="B76" s="294" t="str">
        <f>Calculations!F13</f>
        <v/>
      </c>
      <c r="C76" s="295"/>
      <c r="D76" s="338" t="str">
        <f>IF(B76=B74,""," Example: Tomatoes that spoil")</f>
        <v/>
      </c>
      <c r="E76" s="339"/>
      <c r="F76" s="340"/>
      <c r="G76" s="218" t="str">
        <f>IF(B76=B74,"",5)</f>
        <v/>
      </c>
      <c r="H76" s="219" t="str">
        <f>IF(B76=B74,"",10)</f>
        <v/>
      </c>
      <c r="I76" s="219" t="str">
        <f>IF(B76=B74,"",10)</f>
        <v/>
      </c>
      <c r="J76" s="219" t="str">
        <f>IF(B76=B74,"",5)</f>
        <v/>
      </c>
      <c r="K76" s="219"/>
      <c r="L76" s="219"/>
      <c r="M76" s="219"/>
      <c r="N76" s="219"/>
      <c r="O76" s="219"/>
      <c r="P76" s="219"/>
      <c r="Q76" s="219"/>
      <c r="R76" s="220"/>
      <c r="S76" s="172"/>
      <c r="T76" s="178"/>
      <c r="U76" s="106"/>
      <c r="X76" s="101"/>
      <c r="Y76" s="126" t="str">
        <f t="shared" si="0"/>
        <v/>
      </c>
      <c r="Z76" s="126" t="str">
        <f t="shared" si="0"/>
        <v/>
      </c>
      <c r="AA76" s="126" t="str">
        <f t="shared" si="0"/>
        <v/>
      </c>
      <c r="AB76" s="126" t="str">
        <f t="shared" si="0"/>
        <v/>
      </c>
      <c r="AC76" s="126">
        <f t="shared" si="0"/>
        <v>0</v>
      </c>
      <c r="AD76" s="126">
        <f t="shared" si="0"/>
        <v>0</v>
      </c>
      <c r="AE76" s="126">
        <f t="shared" si="0"/>
        <v>0</v>
      </c>
      <c r="AF76" s="126">
        <f t="shared" si="0"/>
        <v>0</v>
      </c>
      <c r="AG76" s="126">
        <f t="shared" si="0"/>
        <v>0</v>
      </c>
      <c r="AH76" s="126">
        <f t="shared" si="0"/>
        <v>0</v>
      </c>
      <c r="AI76" s="126">
        <f t="shared" si="0"/>
        <v>0</v>
      </c>
      <c r="AJ76" s="126">
        <f t="shared" ref="AJ76:AJ77" si="1">R76</f>
        <v>0</v>
      </c>
      <c r="AS76" s="102"/>
    </row>
    <row r="77" spans="1:45" ht="15" customHeight="1" x14ac:dyDescent="0.2">
      <c r="A77" s="178"/>
      <c r="B77" s="336"/>
      <c r="C77" s="337"/>
      <c r="D77" s="363" t="str">
        <f>IF(B76=B74,""," Example: Extra trips to the market")</f>
        <v/>
      </c>
      <c r="E77" s="364"/>
      <c r="F77" s="365"/>
      <c r="G77" s="221" t="str">
        <f>IF(B76=B74,"",7)</f>
        <v/>
      </c>
      <c r="H77" s="222" t="str">
        <f>IF(B76=B74,"",9)</f>
        <v/>
      </c>
      <c r="I77" s="222" t="str">
        <f>IF(B76=B74,"",9)</f>
        <v/>
      </c>
      <c r="J77" s="222" t="str">
        <f>IF(B76=B74,"",7)</f>
        <v/>
      </c>
      <c r="K77" s="222"/>
      <c r="L77" s="222"/>
      <c r="M77" s="222" t="str">
        <f>IF(B76=B74,"",3)</f>
        <v/>
      </c>
      <c r="N77" s="222" t="str">
        <f>IF(B76=B74,"",3)</f>
        <v/>
      </c>
      <c r="O77" s="222" t="str">
        <f>IF(B76=B74,"",3)</f>
        <v/>
      </c>
      <c r="P77" s="222" t="str">
        <f>IF(B76=B74,"",3)</f>
        <v/>
      </c>
      <c r="Q77" s="222"/>
      <c r="R77" s="223"/>
      <c r="S77" s="172"/>
      <c r="T77" s="178"/>
      <c r="U77" s="106"/>
      <c r="X77" s="101"/>
      <c r="Y77" s="126" t="str">
        <f t="shared" si="0"/>
        <v/>
      </c>
      <c r="Z77" s="126" t="str">
        <f t="shared" si="0"/>
        <v/>
      </c>
      <c r="AA77" s="126" t="str">
        <f t="shared" si="0"/>
        <v/>
      </c>
      <c r="AB77" s="126" t="str">
        <f t="shared" si="0"/>
        <v/>
      </c>
      <c r="AC77" s="126">
        <f t="shared" si="0"/>
        <v>0</v>
      </c>
      <c r="AD77" s="126">
        <f t="shared" si="0"/>
        <v>0</v>
      </c>
      <c r="AE77" s="126" t="str">
        <f t="shared" si="0"/>
        <v/>
      </c>
      <c r="AF77" s="126" t="str">
        <f t="shared" si="0"/>
        <v/>
      </c>
      <c r="AG77" s="126" t="str">
        <f t="shared" si="0"/>
        <v/>
      </c>
      <c r="AH77" s="126" t="str">
        <f t="shared" si="0"/>
        <v/>
      </c>
      <c r="AI77" s="126">
        <f t="shared" si="0"/>
        <v>0</v>
      </c>
      <c r="AJ77" s="126">
        <f t="shared" si="1"/>
        <v>0</v>
      </c>
      <c r="AS77" s="102"/>
    </row>
    <row r="78" spans="1:45" ht="15" customHeight="1" x14ac:dyDescent="0.2">
      <c r="A78" s="178"/>
      <c r="B78" s="336"/>
      <c r="C78" s="337"/>
      <c r="D78" s="366" t="s">
        <v>515</v>
      </c>
      <c r="E78" s="367"/>
      <c r="F78" s="368"/>
      <c r="G78" s="188"/>
      <c r="H78" s="188"/>
      <c r="I78" s="188"/>
      <c r="J78" s="188"/>
      <c r="K78" s="188"/>
      <c r="L78" s="188"/>
      <c r="M78" s="188"/>
      <c r="N78" s="188"/>
      <c r="O78" s="224"/>
      <c r="P78" s="224"/>
      <c r="Q78" s="224"/>
      <c r="R78" s="188"/>
      <c r="S78" s="175"/>
      <c r="T78" s="178"/>
      <c r="U78" s="106"/>
      <c r="W78" s="100" t="s">
        <v>516</v>
      </c>
      <c r="X78" s="101"/>
      <c r="Y78" s="114">
        <f t="shared" si="0"/>
        <v>0</v>
      </c>
      <c r="Z78" s="114">
        <f t="shared" si="0"/>
        <v>0</v>
      </c>
      <c r="AA78" s="114">
        <f t="shared" si="0"/>
        <v>0</v>
      </c>
      <c r="AB78" s="114">
        <f t="shared" si="0"/>
        <v>0</v>
      </c>
      <c r="AC78" s="114">
        <f t="shared" si="0"/>
        <v>0</v>
      </c>
      <c r="AD78" s="114">
        <f t="shared" si="0"/>
        <v>0</v>
      </c>
      <c r="AE78" s="114">
        <f t="shared" si="0"/>
        <v>0</v>
      </c>
      <c r="AF78" s="114">
        <f t="shared" si="0"/>
        <v>0</v>
      </c>
      <c r="AG78" s="114">
        <f t="shared" si="0"/>
        <v>0</v>
      </c>
      <c r="AH78" s="114">
        <f t="shared" si="0"/>
        <v>0</v>
      </c>
      <c r="AI78" s="114">
        <f t="shared" si="0"/>
        <v>0</v>
      </c>
      <c r="AJ78" s="114">
        <f>R78</f>
        <v>0</v>
      </c>
      <c r="AS78" s="102"/>
    </row>
    <row r="79" spans="1:45" ht="15" customHeight="1" x14ac:dyDescent="0.2">
      <c r="A79" s="178"/>
      <c r="B79" s="336"/>
      <c r="C79" s="337"/>
      <c r="D79" s="332" t="s">
        <v>517</v>
      </c>
      <c r="E79" s="333"/>
      <c r="F79" s="334"/>
      <c r="G79" s="188"/>
      <c r="H79" s="188"/>
      <c r="I79" s="188"/>
      <c r="J79" s="188"/>
      <c r="K79" s="188"/>
      <c r="L79" s="188"/>
      <c r="M79" s="188"/>
      <c r="N79" s="188"/>
      <c r="O79" s="224"/>
      <c r="P79" s="224"/>
      <c r="Q79" s="224"/>
      <c r="R79" s="188"/>
      <c r="S79" s="175"/>
      <c r="T79" s="178"/>
      <c r="U79" s="106"/>
      <c r="W79" s="100" t="s">
        <v>515</v>
      </c>
      <c r="X79" s="101"/>
      <c r="Y79" s="114">
        <f t="shared" ref="Y79:Y87" si="2">G79</f>
        <v>0</v>
      </c>
      <c r="Z79" s="114">
        <f t="shared" ref="Z79:AH87" si="3">H79</f>
        <v>0</v>
      </c>
      <c r="AA79" s="114">
        <f t="shared" si="3"/>
        <v>0</v>
      </c>
      <c r="AB79" s="114">
        <f t="shared" si="3"/>
        <v>0</v>
      </c>
      <c r="AC79" s="114">
        <f t="shared" si="3"/>
        <v>0</v>
      </c>
      <c r="AD79" s="114">
        <f t="shared" si="3"/>
        <v>0</v>
      </c>
      <c r="AE79" s="114">
        <f t="shared" si="3"/>
        <v>0</v>
      </c>
      <c r="AF79" s="114">
        <f t="shared" si="3"/>
        <v>0</v>
      </c>
      <c r="AG79" s="114">
        <f t="shared" si="3"/>
        <v>0</v>
      </c>
      <c r="AH79" s="114">
        <f t="shared" si="3"/>
        <v>0</v>
      </c>
      <c r="AI79" s="114">
        <f t="shared" ref="AI79:AJ87" si="4">Q79</f>
        <v>0</v>
      </c>
      <c r="AJ79" s="114">
        <f t="shared" si="4"/>
        <v>0</v>
      </c>
      <c r="AS79" s="102"/>
    </row>
    <row r="80" spans="1:45" ht="15" customHeight="1" x14ac:dyDescent="0.2">
      <c r="A80" s="178"/>
      <c r="B80" s="336"/>
      <c r="C80" s="337"/>
      <c r="D80" s="332" t="s">
        <v>516</v>
      </c>
      <c r="E80" s="333"/>
      <c r="F80" s="334"/>
      <c r="G80" s="188"/>
      <c r="H80" s="188"/>
      <c r="I80" s="188"/>
      <c r="J80" s="188"/>
      <c r="K80" s="188"/>
      <c r="L80" s="188"/>
      <c r="M80" s="188"/>
      <c r="N80" s="188"/>
      <c r="O80" s="188"/>
      <c r="P80" s="188"/>
      <c r="Q80" s="188"/>
      <c r="R80" s="188"/>
      <c r="S80" s="175"/>
      <c r="T80" s="178"/>
      <c r="U80" s="106"/>
      <c r="W80" s="100" t="s">
        <v>517</v>
      </c>
      <c r="X80" s="101"/>
      <c r="Y80" s="114">
        <f t="shared" si="2"/>
        <v>0</v>
      </c>
      <c r="Z80" s="114">
        <f t="shared" si="3"/>
        <v>0</v>
      </c>
      <c r="AA80" s="114">
        <f t="shared" si="3"/>
        <v>0</v>
      </c>
      <c r="AB80" s="114">
        <f t="shared" si="3"/>
        <v>0</v>
      </c>
      <c r="AC80" s="114">
        <f t="shared" si="3"/>
        <v>0</v>
      </c>
      <c r="AD80" s="114">
        <f t="shared" si="3"/>
        <v>0</v>
      </c>
      <c r="AE80" s="114">
        <f t="shared" si="3"/>
        <v>0</v>
      </c>
      <c r="AF80" s="114">
        <f t="shared" si="3"/>
        <v>0</v>
      </c>
      <c r="AG80" s="114">
        <f t="shared" si="3"/>
        <v>0</v>
      </c>
      <c r="AH80" s="114">
        <f t="shared" si="3"/>
        <v>0</v>
      </c>
      <c r="AI80" s="114">
        <f t="shared" si="4"/>
        <v>0</v>
      </c>
      <c r="AJ80" s="114">
        <f t="shared" si="4"/>
        <v>0</v>
      </c>
      <c r="AS80" s="102"/>
    </row>
    <row r="81" spans="1:45" ht="15" customHeight="1" x14ac:dyDescent="0.2">
      <c r="A81" s="178"/>
      <c r="B81" s="336"/>
      <c r="C81" s="337"/>
      <c r="D81" s="332" t="s">
        <v>516</v>
      </c>
      <c r="E81" s="333"/>
      <c r="F81" s="334"/>
      <c r="G81" s="188"/>
      <c r="H81" s="188"/>
      <c r="I81" s="188"/>
      <c r="J81" s="188"/>
      <c r="K81" s="188"/>
      <c r="L81" s="188"/>
      <c r="M81" s="188"/>
      <c r="N81" s="188"/>
      <c r="O81" s="224"/>
      <c r="P81" s="224"/>
      <c r="Q81" s="224"/>
      <c r="R81" s="188"/>
      <c r="S81" s="175"/>
      <c r="T81" s="178"/>
      <c r="U81" s="106"/>
      <c r="W81" s="100" t="s">
        <v>518</v>
      </c>
      <c r="X81" s="101"/>
      <c r="Y81" s="114">
        <f t="shared" si="2"/>
        <v>0</v>
      </c>
      <c r="Z81" s="114">
        <f t="shared" si="3"/>
        <v>0</v>
      </c>
      <c r="AA81" s="114">
        <f t="shared" si="3"/>
        <v>0</v>
      </c>
      <c r="AB81" s="114">
        <f t="shared" si="3"/>
        <v>0</v>
      </c>
      <c r="AC81" s="114">
        <f t="shared" si="3"/>
        <v>0</v>
      </c>
      <c r="AD81" s="114">
        <f t="shared" si="3"/>
        <v>0</v>
      </c>
      <c r="AE81" s="114">
        <f t="shared" si="3"/>
        <v>0</v>
      </c>
      <c r="AF81" s="114">
        <f t="shared" si="3"/>
        <v>0</v>
      </c>
      <c r="AG81" s="114">
        <f t="shared" si="3"/>
        <v>0</v>
      </c>
      <c r="AH81" s="114">
        <f t="shared" si="3"/>
        <v>0</v>
      </c>
      <c r="AI81" s="114">
        <f t="shared" si="4"/>
        <v>0</v>
      </c>
      <c r="AJ81" s="114">
        <f t="shared" si="4"/>
        <v>0</v>
      </c>
      <c r="AS81" s="102"/>
    </row>
    <row r="82" spans="1:45" ht="15" customHeight="1" x14ac:dyDescent="0.2">
      <c r="A82" s="178"/>
      <c r="B82" s="336"/>
      <c r="C82" s="337"/>
      <c r="D82" s="332" t="s">
        <v>516</v>
      </c>
      <c r="E82" s="333"/>
      <c r="F82" s="334"/>
      <c r="G82" s="188"/>
      <c r="H82" s="188"/>
      <c r="I82" s="188"/>
      <c r="J82" s="188"/>
      <c r="K82" s="188"/>
      <c r="L82" s="188"/>
      <c r="M82" s="188"/>
      <c r="N82" s="188"/>
      <c r="O82" s="224"/>
      <c r="P82" s="224"/>
      <c r="Q82" s="224"/>
      <c r="R82" s="188"/>
      <c r="S82" s="175"/>
      <c r="T82" s="178"/>
      <c r="U82" s="106"/>
      <c r="W82" s="100" t="s">
        <v>519</v>
      </c>
      <c r="X82" s="101"/>
      <c r="Y82" s="114">
        <f t="shared" si="2"/>
        <v>0</v>
      </c>
      <c r="Z82" s="114">
        <f t="shared" si="3"/>
        <v>0</v>
      </c>
      <c r="AA82" s="114">
        <f t="shared" si="3"/>
        <v>0</v>
      </c>
      <c r="AB82" s="114">
        <f t="shared" si="3"/>
        <v>0</v>
      </c>
      <c r="AC82" s="114">
        <f t="shared" si="3"/>
        <v>0</v>
      </c>
      <c r="AD82" s="114">
        <f t="shared" si="3"/>
        <v>0</v>
      </c>
      <c r="AE82" s="114">
        <f t="shared" si="3"/>
        <v>0</v>
      </c>
      <c r="AF82" s="114">
        <f t="shared" si="3"/>
        <v>0</v>
      </c>
      <c r="AG82" s="114">
        <f t="shared" si="3"/>
        <v>0</v>
      </c>
      <c r="AH82" s="114">
        <f t="shared" si="3"/>
        <v>0</v>
      </c>
      <c r="AI82" s="114">
        <f t="shared" si="4"/>
        <v>0</v>
      </c>
      <c r="AJ82" s="114">
        <f t="shared" si="4"/>
        <v>0</v>
      </c>
      <c r="AS82" s="102"/>
    </row>
    <row r="83" spans="1:45" ht="15" customHeight="1" x14ac:dyDescent="0.2">
      <c r="A83" s="178"/>
      <c r="B83" s="336"/>
      <c r="C83" s="337"/>
      <c r="D83" s="332" t="s">
        <v>278</v>
      </c>
      <c r="E83" s="333"/>
      <c r="F83" s="334"/>
      <c r="G83" s="188"/>
      <c r="H83" s="188"/>
      <c r="I83" s="188"/>
      <c r="J83" s="188"/>
      <c r="K83" s="188"/>
      <c r="L83" s="188"/>
      <c r="M83" s="188"/>
      <c r="N83" s="188"/>
      <c r="O83" s="224"/>
      <c r="P83" s="224"/>
      <c r="Q83" s="224"/>
      <c r="R83" s="188"/>
      <c r="S83" s="175"/>
      <c r="T83" s="178"/>
      <c r="U83" s="106"/>
      <c r="X83" s="101"/>
      <c r="Y83" s="114">
        <f t="shared" si="2"/>
        <v>0</v>
      </c>
      <c r="Z83" s="114">
        <f t="shared" si="3"/>
        <v>0</v>
      </c>
      <c r="AA83" s="114">
        <f t="shared" si="3"/>
        <v>0</v>
      </c>
      <c r="AB83" s="114">
        <f t="shared" si="3"/>
        <v>0</v>
      </c>
      <c r="AC83" s="114">
        <f t="shared" si="3"/>
        <v>0</v>
      </c>
      <c r="AD83" s="114">
        <f t="shared" si="3"/>
        <v>0</v>
      </c>
      <c r="AE83" s="114">
        <f t="shared" si="3"/>
        <v>0</v>
      </c>
      <c r="AF83" s="114">
        <f t="shared" si="3"/>
        <v>0</v>
      </c>
      <c r="AG83" s="114">
        <f t="shared" si="3"/>
        <v>0</v>
      </c>
      <c r="AH83" s="114">
        <f t="shared" si="3"/>
        <v>0</v>
      </c>
      <c r="AI83" s="114">
        <f t="shared" si="4"/>
        <v>0</v>
      </c>
      <c r="AJ83" s="114">
        <f t="shared" si="4"/>
        <v>0</v>
      </c>
      <c r="AS83" s="102"/>
    </row>
    <row r="84" spans="1:45" ht="15" customHeight="1" x14ac:dyDescent="0.2">
      <c r="A84" s="178"/>
      <c r="B84" s="336"/>
      <c r="C84" s="337"/>
      <c r="D84" s="332" t="s">
        <v>278</v>
      </c>
      <c r="E84" s="333"/>
      <c r="F84" s="334"/>
      <c r="G84" s="188"/>
      <c r="H84" s="188"/>
      <c r="I84" s="188"/>
      <c r="J84" s="188"/>
      <c r="K84" s="188"/>
      <c r="L84" s="188"/>
      <c r="M84" s="188"/>
      <c r="N84" s="188"/>
      <c r="O84" s="224"/>
      <c r="P84" s="224"/>
      <c r="Q84" s="224"/>
      <c r="R84" s="188"/>
      <c r="S84" s="175"/>
      <c r="T84" s="178"/>
      <c r="U84" s="106"/>
      <c r="X84" s="101"/>
      <c r="Y84" s="114">
        <f t="shared" si="2"/>
        <v>0</v>
      </c>
      <c r="Z84" s="114">
        <f t="shared" si="3"/>
        <v>0</v>
      </c>
      <c r="AA84" s="114">
        <f t="shared" si="3"/>
        <v>0</v>
      </c>
      <c r="AB84" s="114">
        <f t="shared" si="3"/>
        <v>0</v>
      </c>
      <c r="AC84" s="114">
        <f t="shared" si="3"/>
        <v>0</v>
      </c>
      <c r="AD84" s="114">
        <f t="shared" si="3"/>
        <v>0</v>
      </c>
      <c r="AE84" s="114">
        <f t="shared" si="3"/>
        <v>0</v>
      </c>
      <c r="AF84" s="114">
        <f t="shared" si="3"/>
        <v>0</v>
      </c>
      <c r="AG84" s="114">
        <f t="shared" si="3"/>
        <v>0</v>
      </c>
      <c r="AH84" s="114">
        <f t="shared" si="3"/>
        <v>0</v>
      </c>
      <c r="AI84" s="114">
        <f t="shared" si="4"/>
        <v>0</v>
      </c>
      <c r="AJ84" s="114">
        <f t="shared" si="4"/>
        <v>0</v>
      </c>
      <c r="AS84" s="102"/>
    </row>
    <row r="85" spans="1:45" ht="15" customHeight="1" x14ac:dyDescent="0.2">
      <c r="A85" s="178"/>
      <c r="B85" s="336"/>
      <c r="C85" s="337"/>
      <c r="D85" s="332" t="s">
        <v>278</v>
      </c>
      <c r="E85" s="333"/>
      <c r="F85" s="334"/>
      <c r="G85" s="188"/>
      <c r="H85" s="188"/>
      <c r="I85" s="188"/>
      <c r="J85" s="188"/>
      <c r="K85" s="188"/>
      <c r="L85" s="188"/>
      <c r="M85" s="188"/>
      <c r="N85" s="188"/>
      <c r="O85" s="224"/>
      <c r="P85" s="224"/>
      <c r="Q85" s="224"/>
      <c r="R85" s="188"/>
      <c r="S85" s="175"/>
      <c r="T85" s="178"/>
      <c r="U85" s="106"/>
      <c r="X85" s="101"/>
      <c r="Y85" s="114">
        <f t="shared" si="2"/>
        <v>0</v>
      </c>
      <c r="Z85" s="114">
        <f t="shared" si="3"/>
        <v>0</v>
      </c>
      <c r="AA85" s="114">
        <f t="shared" si="3"/>
        <v>0</v>
      </c>
      <c r="AB85" s="114">
        <f t="shared" si="3"/>
        <v>0</v>
      </c>
      <c r="AC85" s="114">
        <f t="shared" si="3"/>
        <v>0</v>
      </c>
      <c r="AD85" s="114">
        <f t="shared" si="3"/>
        <v>0</v>
      </c>
      <c r="AE85" s="114">
        <f t="shared" si="3"/>
        <v>0</v>
      </c>
      <c r="AF85" s="114">
        <f t="shared" si="3"/>
        <v>0</v>
      </c>
      <c r="AG85" s="114">
        <f t="shared" si="3"/>
        <v>0</v>
      </c>
      <c r="AH85" s="114">
        <f t="shared" si="3"/>
        <v>0</v>
      </c>
      <c r="AI85" s="114">
        <f t="shared" si="4"/>
        <v>0</v>
      </c>
      <c r="AJ85" s="114">
        <f t="shared" si="4"/>
        <v>0</v>
      </c>
      <c r="AS85" s="102"/>
    </row>
    <row r="86" spans="1:45" ht="15" customHeight="1" x14ac:dyDescent="0.2">
      <c r="A86" s="178"/>
      <c r="B86" s="336"/>
      <c r="C86" s="337"/>
      <c r="D86" s="332" t="s">
        <v>278</v>
      </c>
      <c r="E86" s="333"/>
      <c r="F86" s="334"/>
      <c r="G86" s="188"/>
      <c r="H86" s="188"/>
      <c r="I86" s="188"/>
      <c r="J86" s="188"/>
      <c r="K86" s="188"/>
      <c r="L86" s="188"/>
      <c r="M86" s="188"/>
      <c r="N86" s="188"/>
      <c r="O86" s="224"/>
      <c r="P86" s="224"/>
      <c r="Q86" s="224"/>
      <c r="R86" s="188"/>
      <c r="S86" s="175"/>
      <c r="T86" s="178"/>
      <c r="U86" s="106"/>
      <c r="X86" s="101"/>
      <c r="Y86" s="114">
        <f t="shared" si="2"/>
        <v>0</v>
      </c>
      <c r="Z86" s="114">
        <f t="shared" si="3"/>
        <v>0</v>
      </c>
      <c r="AA86" s="114">
        <f t="shared" si="3"/>
        <v>0</v>
      </c>
      <c r="AB86" s="114">
        <f t="shared" si="3"/>
        <v>0</v>
      </c>
      <c r="AC86" s="114">
        <f t="shared" si="3"/>
        <v>0</v>
      </c>
      <c r="AD86" s="114">
        <f t="shared" si="3"/>
        <v>0</v>
      </c>
      <c r="AE86" s="114">
        <f t="shared" si="3"/>
        <v>0</v>
      </c>
      <c r="AF86" s="114">
        <f t="shared" si="3"/>
        <v>0</v>
      </c>
      <c r="AG86" s="114">
        <f t="shared" si="3"/>
        <v>0</v>
      </c>
      <c r="AH86" s="114">
        <f t="shared" si="3"/>
        <v>0</v>
      </c>
      <c r="AI86" s="114">
        <f t="shared" si="4"/>
        <v>0</v>
      </c>
      <c r="AJ86" s="114">
        <f t="shared" si="4"/>
        <v>0</v>
      </c>
      <c r="AS86" s="102"/>
    </row>
    <row r="87" spans="1:45" ht="15" customHeight="1" x14ac:dyDescent="0.2">
      <c r="A87" s="178"/>
      <c r="B87" s="336"/>
      <c r="C87" s="337"/>
      <c r="D87" s="329" t="s">
        <v>278</v>
      </c>
      <c r="E87" s="330"/>
      <c r="F87" s="331"/>
      <c r="G87" s="188"/>
      <c r="H87" s="188"/>
      <c r="I87" s="188"/>
      <c r="J87" s="188"/>
      <c r="K87" s="188"/>
      <c r="L87" s="188"/>
      <c r="M87" s="188"/>
      <c r="N87" s="188"/>
      <c r="O87" s="224"/>
      <c r="P87" s="224"/>
      <c r="Q87" s="224"/>
      <c r="R87" s="188"/>
      <c r="S87" s="225" t="s">
        <v>221</v>
      </c>
      <c r="T87" s="185"/>
      <c r="U87" s="106"/>
      <c r="V87" s="106"/>
      <c r="W87" s="106"/>
      <c r="X87" s="101"/>
      <c r="Y87" s="114">
        <f t="shared" si="2"/>
        <v>0</v>
      </c>
      <c r="Z87" s="114">
        <f t="shared" si="3"/>
        <v>0</v>
      </c>
      <c r="AA87" s="114">
        <f t="shared" si="3"/>
        <v>0</v>
      </c>
      <c r="AB87" s="114">
        <f t="shared" si="3"/>
        <v>0</v>
      </c>
      <c r="AC87" s="114">
        <f t="shared" si="3"/>
        <v>0</v>
      </c>
      <c r="AD87" s="114">
        <f t="shared" si="3"/>
        <v>0</v>
      </c>
      <c r="AE87" s="114">
        <f t="shared" si="3"/>
        <v>0</v>
      </c>
      <c r="AF87" s="114">
        <f t="shared" si="3"/>
        <v>0</v>
      </c>
      <c r="AG87" s="114">
        <f t="shared" si="3"/>
        <v>0</v>
      </c>
      <c r="AH87" s="114">
        <f t="shared" si="3"/>
        <v>0</v>
      </c>
      <c r="AI87" s="114">
        <f t="shared" si="4"/>
        <v>0</v>
      </c>
      <c r="AJ87" s="114">
        <f t="shared" si="4"/>
        <v>0</v>
      </c>
      <c r="AS87" s="102"/>
    </row>
    <row r="88" spans="1:45" ht="15" customHeight="1" x14ac:dyDescent="0.2">
      <c r="A88" s="178"/>
      <c r="B88" s="321" t="str">
        <f>IF(Calculations!F14=Calculations!F6, "","Total potential savings per month ("&amp;M53&amp;")")</f>
        <v/>
      </c>
      <c r="C88" s="321"/>
      <c r="D88" s="321"/>
      <c r="E88" s="321"/>
      <c r="F88" s="322"/>
      <c r="G88" s="226" t="str">
        <f>IF(Calculations!$E$51=0, "", IF(Calculations!$B$51=0, "", SUM(Y78:Y87)))</f>
        <v/>
      </c>
      <c r="H88" s="227" t="str">
        <f>IF(Calculations!$E$51=0, "", IF(Calculations!$B$51=0, "", SUM(Z78:Z87)))</f>
        <v/>
      </c>
      <c r="I88" s="227" t="str">
        <f>IF(Calculations!$E$51=0, "", IF(Calculations!$B$51=0, "", SUM(AA78:AA87)))</f>
        <v/>
      </c>
      <c r="J88" s="227" t="str">
        <f>IF(Calculations!$E$51=0, "", IF(Calculations!$B$51=0, "", SUM(AB78:AB87)))</f>
        <v/>
      </c>
      <c r="K88" s="227" t="str">
        <f>IF(Calculations!$E$51=0, "", IF(Calculations!$B$51=0, "", SUM(AC78:AC87)))</f>
        <v/>
      </c>
      <c r="L88" s="227" t="str">
        <f>IF(Calculations!$E$51=0, "", IF(Calculations!$B$51=0, "", SUM(AD78:AD87)))</f>
        <v/>
      </c>
      <c r="M88" s="227" t="str">
        <f>IF(Calculations!$E$51=0, "", IF(Calculations!$B$51=0, "", SUM(AE78:AE87)))</f>
        <v/>
      </c>
      <c r="N88" s="227" t="str">
        <f>IF(Calculations!$E$51=0, "", IF(Calculations!$B$51=0, "", SUM(AF78:AF87)))</f>
        <v/>
      </c>
      <c r="O88" s="227" t="str">
        <f>IF(Calculations!$E$51=0, "", IF(Calculations!$B$51=0, "", SUM(AG78:AG87)))</f>
        <v/>
      </c>
      <c r="P88" s="227" t="str">
        <f>IF(Calculations!$E$51=0, "", IF(Calculations!$B$51=0, "", SUM(AH78:AH87)))</f>
        <v/>
      </c>
      <c r="Q88" s="227" t="str">
        <f>IF(Calculations!$E$51=0, "", IF(Calculations!$B$51=0, "", SUM(AI78:AI87)))</f>
        <v/>
      </c>
      <c r="R88" s="228" t="str">
        <f>IF(Calculations!$E$51=0, "", IF(Calculations!$B$51=0, "", SUM(AJ78:AJ87)))</f>
        <v/>
      </c>
      <c r="S88" s="229">
        <f>IF(Calculations!F13=Calculations!F5,"",SUM(G88:R88))</f>
        <v>0</v>
      </c>
      <c r="T88" s="185"/>
      <c r="U88" s="106"/>
      <c r="V88" s="106"/>
      <c r="W88" s="106"/>
      <c r="X88" s="101"/>
      <c r="AS88" s="102"/>
    </row>
    <row r="89" spans="1:45" ht="15" customHeight="1" x14ac:dyDescent="0.2">
      <c r="A89" s="178"/>
      <c r="B89" s="369" t="str">
        <f>B27</f>
        <v>How effective will evaporative cooling will be in each month:</v>
      </c>
      <c r="C89" s="370"/>
      <c r="D89" s="370"/>
      <c r="E89" s="370"/>
      <c r="F89" s="371"/>
      <c r="G89" s="216" t="str">
        <f t="shared" ref="G89:R89" si="5">IF(G88=0, "No need for", G27)</f>
        <v/>
      </c>
      <c r="H89" s="216" t="str">
        <f t="shared" si="5"/>
        <v/>
      </c>
      <c r="I89" s="216" t="str">
        <f t="shared" si="5"/>
        <v/>
      </c>
      <c r="J89" s="216" t="str">
        <f t="shared" si="5"/>
        <v/>
      </c>
      <c r="K89" s="216" t="str">
        <f t="shared" si="5"/>
        <v/>
      </c>
      <c r="L89" s="216" t="str">
        <f t="shared" si="5"/>
        <v/>
      </c>
      <c r="M89" s="216" t="str">
        <f t="shared" si="5"/>
        <v/>
      </c>
      <c r="N89" s="216" t="str">
        <f t="shared" si="5"/>
        <v/>
      </c>
      <c r="O89" s="216" t="str">
        <f t="shared" si="5"/>
        <v/>
      </c>
      <c r="P89" s="216" t="str">
        <f t="shared" si="5"/>
        <v/>
      </c>
      <c r="Q89" s="216" t="str">
        <f t="shared" si="5"/>
        <v/>
      </c>
      <c r="R89" s="216" t="str">
        <f t="shared" si="5"/>
        <v/>
      </c>
      <c r="S89" s="230"/>
      <c r="T89" s="185"/>
      <c r="U89" s="106"/>
      <c r="V89" s="106"/>
      <c r="W89" s="106"/>
      <c r="X89" s="101"/>
      <c r="AS89" s="102"/>
    </row>
    <row r="90" spans="1:45" ht="26" customHeight="1" x14ac:dyDescent="0.2">
      <c r="A90" s="178"/>
      <c r="B90" s="355" t="str">
        <f>B28</f>
        <v>Notes on perfomance for each month:</v>
      </c>
      <c r="C90" s="356"/>
      <c r="D90" s="356"/>
      <c r="E90" s="356"/>
      <c r="F90" s="357"/>
      <c r="G90" s="215" t="str">
        <f t="shared" ref="G90:R90" si="6">IF(G88=0, "evaporative cooling", G28)</f>
        <v>Enter humidity</v>
      </c>
      <c r="H90" s="215" t="str">
        <f t="shared" si="6"/>
        <v>Enter humidity</v>
      </c>
      <c r="I90" s="215" t="str">
        <f t="shared" si="6"/>
        <v>Enter humidity</v>
      </c>
      <c r="J90" s="215" t="str">
        <f t="shared" si="6"/>
        <v>Enter humidity</v>
      </c>
      <c r="K90" s="215" t="str">
        <f t="shared" si="6"/>
        <v>Enter humidity</v>
      </c>
      <c r="L90" s="215" t="str">
        <f t="shared" si="6"/>
        <v>Enter humidity</v>
      </c>
      <c r="M90" s="215" t="str">
        <f t="shared" si="6"/>
        <v>Enter humidity</v>
      </c>
      <c r="N90" s="215" t="str">
        <f t="shared" si="6"/>
        <v>Enter humidity</v>
      </c>
      <c r="O90" s="215" t="str">
        <f t="shared" si="6"/>
        <v>Enter humidity</v>
      </c>
      <c r="P90" s="215" t="str">
        <f t="shared" si="6"/>
        <v>Enter humidity</v>
      </c>
      <c r="Q90" s="215" t="str">
        <f t="shared" si="6"/>
        <v>Enter humidity</v>
      </c>
      <c r="R90" s="215" t="str">
        <f t="shared" si="6"/>
        <v>Enter humidity</v>
      </c>
      <c r="S90" s="225" t="s">
        <v>221</v>
      </c>
      <c r="T90" s="185"/>
      <c r="U90" s="106"/>
      <c r="V90" s="106"/>
      <c r="W90" s="106"/>
      <c r="X90" s="101"/>
      <c r="AS90" s="102"/>
    </row>
    <row r="91" spans="1:45" ht="15" customHeight="1" x14ac:dyDescent="0.2">
      <c r="A91" s="178"/>
      <c r="B91" s="341" t="str">
        <f>IF(Calculations!F14=Calculations!F6,"",""&amp;B88&amp;"                                                                                                                                                         (estimated considering conditions for evaporative cooling)")</f>
        <v/>
      </c>
      <c r="C91" s="341"/>
      <c r="D91" s="341"/>
      <c r="E91" s="341"/>
      <c r="F91" s="342"/>
      <c r="G91" s="346" t="str">
        <f>IF(Calculations!$E$51=0, "", IF(Calculations!$B$51=0, "", IF(Calculations!G97=Calculations!$A84, Calculations!$A84, Calculations!G97*G88)))</f>
        <v/>
      </c>
      <c r="H91" s="303" t="str">
        <f>IF(Calculations!$E$51=0, "", IF(Calculations!$B$51=0, "", IF(Calculations!H97=Calculations!$A84, Calculations!$A84, Calculations!H97*H88)))</f>
        <v/>
      </c>
      <c r="I91" s="303" t="str">
        <f>IF(Calculations!$E$51=0, "", IF(Calculations!$B$51=0, "", IF(Calculations!I97=Calculations!$A84, Calculations!$A84, Calculations!I97*I88)))</f>
        <v/>
      </c>
      <c r="J91" s="303" t="str">
        <f>IF(Calculations!$E$51=0, "", IF(Calculations!$B$51=0, "", IF(Calculations!J97=Calculations!$A84, Calculations!$A84, Calculations!J97*J88)))</f>
        <v/>
      </c>
      <c r="K91" s="303" t="str">
        <f>IF(Calculations!$E$51=0, "", IF(Calculations!$B$51=0, "", IF(Calculations!K97=Calculations!$A84, Calculations!$A84, Calculations!K97*K88)))</f>
        <v/>
      </c>
      <c r="L91" s="303" t="str">
        <f>IF(Calculations!$E$51=0, "", IF(Calculations!$B$51=0, "", IF(Calculations!L97=Calculations!$A84, Calculations!$A84, Calculations!L97*L88)))</f>
        <v/>
      </c>
      <c r="M91" s="303" t="str">
        <f>IF(Calculations!$E$51=0, "", IF(Calculations!$B$51=0, "", IF(Calculations!M97=Calculations!$A84, Calculations!$A84, Calculations!M97*M88)))</f>
        <v/>
      </c>
      <c r="N91" s="303" t="str">
        <f>IF(Calculations!$E$51=0, "", IF(Calculations!$B$51=0, "", IF(Calculations!N97=Calculations!$A84, Calculations!$A84, Calculations!N97*N88)))</f>
        <v/>
      </c>
      <c r="O91" s="303" t="str">
        <f>IF(Calculations!$E$51=0, "", IF(Calculations!$B$51=0, "", IF(Calculations!O97=Calculations!$A84, Calculations!$A84, Calculations!O97*O88)))</f>
        <v/>
      </c>
      <c r="P91" s="303" t="str">
        <f>IF(Calculations!$E$51=0, "", IF(Calculations!$B$51=0, "", IF(Calculations!P97=Calculations!$A84, Calculations!$A84, Calculations!P97*P88)))</f>
        <v/>
      </c>
      <c r="Q91" s="303" t="str">
        <f>IF(Calculations!$E$51=0, "", IF(Calculations!$B$51=0, "", IF(Calculations!Q97=Calculations!$A84, Calculations!$A84, Calculations!Q97*Q88)))</f>
        <v/>
      </c>
      <c r="R91" s="303" t="str">
        <f>IF(Calculations!$E$51=0, "", IF(Calculations!$B$51=0, "", IF(Calculations!R97=Calculations!$A84, Calculations!$A84, Calculations!R97*R88)))</f>
        <v/>
      </c>
      <c r="S91" s="314" t="str">
        <f>IF(Calculations!F14=Calculations!F6,"",SUM(G91:R91))</f>
        <v/>
      </c>
      <c r="T91" s="185"/>
      <c r="U91" s="106"/>
      <c r="V91" s="106"/>
      <c r="W91" s="100" t="s">
        <v>251</v>
      </c>
      <c r="X91" s="101"/>
      <c r="AS91" s="102"/>
    </row>
    <row r="92" spans="1:45" ht="15" customHeight="1" x14ac:dyDescent="0.2">
      <c r="A92" s="178"/>
      <c r="B92" s="343"/>
      <c r="C92" s="343"/>
      <c r="D92" s="343"/>
      <c r="E92" s="343"/>
      <c r="F92" s="344"/>
      <c r="G92" s="347"/>
      <c r="H92" s="304"/>
      <c r="I92" s="304"/>
      <c r="J92" s="304"/>
      <c r="K92" s="304"/>
      <c r="L92" s="304"/>
      <c r="M92" s="304"/>
      <c r="N92" s="304"/>
      <c r="O92" s="304"/>
      <c r="P92" s="304"/>
      <c r="Q92" s="304"/>
      <c r="R92" s="304"/>
      <c r="S92" s="314"/>
      <c r="T92" s="185"/>
      <c r="U92" s="106"/>
      <c r="V92" s="106"/>
      <c r="W92" s="100" t="s">
        <v>268</v>
      </c>
      <c r="X92" s="101"/>
      <c r="Y92" s="288" t="str">
        <f>Calculations!H13</f>
        <v/>
      </c>
      <c r="Z92" s="289"/>
      <c r="AA92" s="351" t="str">
        <f>Calculations!H14</f>
        <v/>
      </c>
      <c r="AB92" s="352"/>
      <c r="AC92" s="353"/>
      <c r="AD92" s="349" t="s">
        <v>5</v>
      </c>
      <c r="AE92" s="350"/>
      <c r="AF92" s="318" t="str">
        <f>Calculations!H42</f>
        <v/>
      </c>
      <c r="AG92" s="319"/>
      <c r="AH92" s="320"/>
      <c r="AS92" s="102"/>
    </row>
    <row r="93" spans="1:45" ht="15" customHeight="1" x14ac:dyDescent="0.2">
      <c r="A93" s="178"/>
      <c r="B93" s="343"/>
      <c r="C93" s="343"/>
      <c r="D93" s="343"/>
      <c r="E93" s="343"/>
      <c r="F93" s="344"/>
      <c r="G93" s="348"/>
      <c r="H93" s="305"/>
      <c r="I93" s="305"/>
      <c r="J93" s="305"/>
      <c r="K93" s="305"/>
      <c r="L93" s="305"/>
      <c r="M93" s="305"/>
      <c r="N93" s="305"/>
      <c r="O93" s="305"/>
      <c r="P93" s="305"/>
      <c r="Q93" s="305"/>
      <c r="R93" s="305"/>
      <c r="S93" s="314"/>
      <c r="T93" s="185"/>
      <c r="U93" s="106"/>
      <c r="V93" s="106"/>
      <c r="W93" s="99" t="str">
        <f>IF(J44="Yes",W91,IF(J44="No",W92,"error"))</f>
        <v>error</v>
      </c>
      <c r="X93" s="101"/>
      <c r="Y93" s="288" t="str">
        <f>Calculations!I13</f>
        <v/>
      </c>
      <c r="Z93" s="289"/>
      <c r="AA93" s="323" t="str">
        <f>Calculations!I14</f>
        <v/>
      </c>
      <c r="AB93" s="324"/>
      <c r="AC93" s="325"/>
      <c r="AD93" s="349" t="s">
        <v>5</v>
      </c>
      <c r="AE93" s="350"/>
      <c r="AF93" s="318" t="str">
        <f>Calculations!I42</f>
        <v/>
      </c>
      <c r="AG93" s="319"/>
      <c r="AH93" s="320"/>
      <c r="AS93" s="102"/>
    </row>
    <row r="94" spans="1:45" ht="15" customHeight="1" x14ac:dyDescent="0.2">
      <c r="A94" s="178"/>
      <c r="B94" s="178"/>
      <c r="C94" s="178"/>
      <c r="D94" s="178"/>
      <c r="E94" s="178"/>
      <c r="F94" s="178"/>
      <c r="G94" s="178"/>
      <c r="H94" s="178"/>
      <c r="I94" s="178"/>
      <c r="J94" s="178"/>
      <c r="K94" s="178"/>
      <c r="L94" s="178"/>
      <c r="M94" s="178"/>
      <c r="N94" s="178"/>
      <c r="O94" s="178"/>
      <c r="P94" s="178"/>
      <c r="Q94" s="178"/>
      <c r="R94" s="178"/>
      <c r="S94" s="172"/>
      <c r="T94" s="178"/>
      <c r="U94" s="106"/>
      <c r="X94" s="101"/>
      <c r="AS94" s="102"/>
    </row>
    <row r="95" spans="1:45" ht="15" customHeight="1" x14ac:dyDescent="0.2">
      <c r="A95" s="178"/>
      <c r="B95" s="306" t="str">
        <f>IF(S88=0, Y95, IF(S91=0,Y97, Y99))</f>
        <v>No savings have been entered into the table for Question 7</v>
      </c>
      <c r="C95" s="306"/>
      <c r="D95" s="306"/>
      <c r="E95" s="306"/>
      <c r="F95" s="306"/>
      <c r="G95" s="306"/>
      <c r="H95" s="306"/>
      <c r="I95" s="306"/>
      <c r="J95" s="306"/>
      <c r="K95" s="306"/>
      <c r="L95" s="306"/>
      <c r="M95" s="306"/>
      <c r="N95" s="306"/>
      <c r="O95" s="306"/>
      <c r="P95" s="306"/>
      <c r="Q95" s="306"/>
      <c r="R95" s="306"/>
      <c r="S95" s="306"/>
      <c r="T95" s="178"/>
      <c r="U95" s="106"/>
      <c r="W95" s="107" t="s">
        <v>229</v>
      </c>
      <c r="X95" s="101" t="s">
        <v>226</v>
      </c>
      <c r="Y95" s="100" t="s">
        <v>243</v>
      </c>
      <c r="AS95" s="102"/>
    </row>
    <row r="96" spans="1:45" ht="15" customHeight="1" x14ac:dyDescent="0.2">
      <c r="A96" s="178"/>
      <c r="B96" s="306"/>
      <c r="C96" s="306"/>
      <c r="D96" s="306"/>
      <c r="E96" s="306"/>
      <c r="F96" s="306"/>
      <c r="G96" s="306"/>
      <c r="H96" s="306"/>
      <c r="I96" s="306"/>
      <c r="J96" s="306"/>
      <c r="K96" s="306"/>
      <c r="L96" s="306"/>
      <c r="M96" s="306"/>
      <c r="N96" s="306"/>
      <c r="O96" s="306"/>
      <c r="P96" s="306"/>
      <c r="Q96" s="306"/>
      <c r="R96" s="306"/>
      <c r="S96" s="306"/>
      <c r="T96" s="178"/>
      <c r="U96" s="106"/>
      <c r="W96" s="107" t="s">
        <v>229</v>
      </c>
      <c r="X96" s="101" t="s">
        <v>227</v>
      </c>
      <c r="Y96" s="100" t="s">
        <v>224</v>
      </c>
      <c r="AS96" s="102"/>
    </row>
    <row r="97" spans="1:45" ht="15" customHeight="1" x14ac:dyDescent="0.2">
      <c r="A97" s="178"/>
      <c r="B97" s="306"/>
      <c r="C97" s="306"/>
      <c r="D97" s="306"/>
      <c r="E97" s="306"/>
      <c r="F97" s="306"/>
      <c r="G97" s="306"/>
      <c r="H97" s="306"/>
      <c r="I97" s="306"/>
      <c r="J97" s="306"/>
      <c r="K97" s="306"/>
      <c r="L97" s="306"/>
      <c r="M97" s="306"/>
      <c r="N97" s="306"/>
      <c r="O97" s="306"/>
      <c r="P97" s="306"/>
      <c r="Q97" s="306"/>
      <c r="R97" s="306"/>
      <c r="S97" s="306"/>
      <c r="T97" s="178"/>
      <c r="U97" s="106"/>
      <c r="W97" s="107" t="s">
        <v>231</v>
      </c>
      <c r="X97" s="101" t="s">
        <v>226</v>
      </c>
      <c r="Y97" s="100" t="str">
        <f>Calculations!B144</f>
        <v>Enter the amount of money that is spent each month due to inadequate vegetable storage (See Question 6)</v>
      </c>
      <c r="AS97" s="102"/>
    </row>
    <row r="98" spans="1:45" ht="15" customHeight="1" x14ac:dyDescent="0.2">
      <c r="A98" s="178"/>
      <c r="B98" s="306"/>
      <c r="C98" s="306"/>
      <c r="D98" s="306"/>
      <c r="E98" s="306"/>
      <c r="F98" s="306"/>
      <c r="G98" s="306"/>
      <c r="H98" s="306"/>
      <c r="I98" s="306"/>
      <c r="J98" s="306"/>
      <c r="K98" s="306"/>
      <c r="L98" s="306"/>
      <c r="M98" s="306"/>
      <c r="N98" s="306"/>
      <c r="O98" s="306"/>
      <c r="P98" s="306"/>
      <c r="Q98" s="306"/>
      <c r="R98" s="306"/>
      <c r="S98" s="306"/>
      <c r="T98" s="178"/>
      <c r="U98" s="106"/>
      <c r="W98" s="107" t="s">
        <v>231</v>
      </c>
      <c r="X98" s="101" t="s">
        <v>227</v>
      </c>
      <c r="Y98" s="100" t="s">
        <v>225</v>
      </c>
      <c r="AS98" s="102"/>
    </row>
    <row r="99" spans="1:45" ht="15" customHeight="1" x14ac:dyDescent="0.2">
      <c r="A99" s="179"/>
      <c r="B99" s="179"/>
      <c r="C99" s="179"/>
      <c r="D99" s="179"/>
      <c r="E99" s="179"/>
      <c r="F99" s="179"/>
      <c r="G99" s="179"/>
      <c r="H99" s="179"/>
      <c r="I99" s="179"/>
      <c r="J99" s="179"/>
      <c r="K99" s="179"/>
      <c r="L99" s="179"/>
      <c r="M99" s="179"/>
      <c r="N99" s="179"/>
      <c r="O99" s="179"/>
      <c r="P99" s="179"/>
      <c r="Q99" s="179"/>
      <c r="R99" s="179"/>
      <c r="S99" s="194"/>
      <c r="T99" s="179"/>
      <c r="U99" s="106"/>
      <c r="W99" s="107" t="s">
        <v>233</v>
      </c>
      <c r="X99" s="101" t="s">
        <v>226</v>
      </c>
      <c r="Y99" s="100" t="str">
        <f>Calculations!B145</f>
        <v/>
      </c>
      <c r="AS99" s="102"/>
    </row>
    <row r="100" spans="1:45" ht="15" customHeight="1" x14ac:dyDescent="0.2">
      <c r="A100" s="178"/>
      <c r="B100" s="178"/>
      <c r="C100" s="178"/>
      <c r="D100" s="178"/>
      <c r="E100" s="178"/>
      <c r="F100" s="178"/>
      <c r="G100" s="178"/>
      <c r="H100" s="178"/>
      <c r="I100" s="178"/>
      <c r="J100" s="178"/>
      <c r="K100" s="178"/>
      <c r="L100" s="178"/>
      <c r="M100" s="178"/>
      <c r="N100" s="178"/>
      <c r="O100" s="178"/>
      <c r="P100" s="178"/>
      <c r="Q100" s="178"/>
      <c r="R100" s="178"/>
      <c r="S100" s="172"/>
      <c r="T100" s="178"/>
      <c r="U100" s="106"/>
      <c r="W100" s="107" t="s">
        <v>233</v>
      </c>
      <c r="X100" s="101" t="s">
        <v>227</v>
      </c>
      <c r="Y100" s="100" t="s">
        <v>232</v>
      </c>
      <c r="AS100" s="102"/>
    </row>
    <row r="101" spans="1:45" ht="15" customHeight="1" x14ac:dyDescent="0.2">
      <c r="A101" s="178"/>
      <c r="B101" s="272" t="s">
        <v>218</v>
      </c>
      <c r="C101" s="272"/>
      <c r="D101" s="272"/>
      <c r="E101" s="272"/>
      <c r="F101" s="272"/>
      <c r="G101" s="272"/>
      <c r="H101" s="272"/>
      <c r="I101" s="272"/>
      <c r="J101" s="272"/>
      <c r="K101" s="272"/>
      <c r="L101" s="272"/>
      <c r="M101" s="272"/>
      <c r="N101" s="272"/>
      <c r="O101" s="272"/>
      <c r="P101" s="272"/>
      <c r="Q101" s="272"/>
      <c r="R101" s="272"/>
      <c r="S101" s="272"/>
      <c r="T101" s="178"/>
      <c r="U101" s="106"/>
      <c r="X101" s="101"/>
      <c r="AS101" s="102"/>
    </row>
    <row r="102" spans="1:45" ht="15" customHeight="1" x14ac:dyDescent="0.2">
      <c r="A102" s="178"/>
      <c r="B102" s="272"/>
      <c r="C102" s="272"/>
      <c r="D102" s="272"/>
      <c r="E102" s="272"/>
      <c r="F102" s="272"/>
      <c r="G102" s="272"/>
      <c r="H102" s="272"/>
      <c r="I102" s="272"/>
      <c r="J102" s="272"/>
      <c r="K102" s="272"/>
      <c r="L102" s="272"/>
      <c r="M102" s="272"/>
      <c r="N102" s="272"/>
      <c r="O102" s="272"/>
      <c r="P102" s="272"/>
      <c r="Q102" s="272"/>
      <c r="R102" s="272"/>
      <c r="S102" s="272"/>
      <c r="T102" s="178"/>
      <c r="U102" s="106"/>
      <c r="W102" s="107" t="s">
        <v>228</v>
      </c>
      <c r="X102" s="101" t="s">
        <v>226</v>
      </c>
      <c r="Y102" s="100" t="str">
        <f>"The potential savings that evaporative cooling can provide is greater than the cost of a "&amp;W93&amp;" device!"</f>
        <v>The potential savings that evaporative cooling can provide is greater than the cost of a error device!</v>
      </c>
      <c r="AS102" s="102"/>
    </row>
    <row r="103" spans="1:45" ht="15" customHeight="1" x14ac:dyDescent="0.2">
      <c r="A103" s="178"/>
      <c r="B103" s="178"/>
      <c r="C103" s="178"/>
      <c r="D103" s="178"/>
      <c r="E103" s="178"/>
      <c r="F103" s="178"/>
      <c r="G103" s="178"/>
      <c r="H103" s="178"/>
      <c r="I103" s="178"/>
      <c r="J103" s="178"/>
      <c r="K103" s="178"/>
      <c r="L103" s="172"/>
      <c r="M103" s="178"/>
      <c r="N103" s="178"/>
      <c r="O103" s="178"/>
      <c r="P103" s="178"/>
      <c r="Q103" s="178"/>
      <c r="R103" s="178"/>
      <c r="S103" s="172"/>
      <c r="T103" s="178"/>
      <c r="U103" s="106"/>
      <c r="W103" s="107" t="s">
        <v>228</v>
      </c>
      <c r="X103" s="101" t="s">
        <v>227</v>
      </c>
      <c r="Y103" s="100" t="str">
        <f>""</f>
        <v/>
      </c>
      <c r="AS103" s="102"/>
    </row>
    <row r="104" spans="1:45" ht="15" customHeight="1" x14ac:dyDescent="0.2">
      <c r="A104" s="178"/>
      <c r="B104" s="178"/>
      <c r="C104" s="178"/>
      <c r="D104" s="178"/>
      <c r="E104" s="178"/>
      <c r="F104" s="301" t="str">
        <f>IF('Decision making tool'!B55="", "",IF('Decision making tool'!AA22="no*", "","Financial analysis"))</f>
        <v/>
      </c>
      <c r="G104" s="301"/>
      <c r="H104" s="301"/>
      <c r="I104" s="301"/>
      <c r="J104" s="301"/>
      <c r="K104" s="301"/>
      <c r="L104" s="301"/>
      <c r="M104" s="301"/>
      <c r="N104" s="301"/>
      <c r="O104" s="290" t="str">
        <f>IF('Decision making tool'!AA22="no*", "","("&amp;'Decision making tool'!M53&amp;")")</f>
        <v/>
      </c>
      <c r="P104" s="178"/>
      <c r="Q104" s="178"/>
      <c r="R104" s="178"/>
      <c r="S104" s="172"/>
      <c r="T104" s="178"/>
      <c r="U104" s="106"/>
      <c r="W104" s="107" t="s">
        <v>229</v>
      </c>
      <c r="X104" s="101" t="s">
        <v>226</v>
      </c>
      <c r="Y104" s="100" t="str">
        <f>""&amp;Y95&amp;""</f>
        <v>No savings have been entered into the table for Question 7</v>
      </c>
      <c r="AS104" s="102"/>
    </row>
    <row r="105" spans="1:45" ht="15" customHeight="1" x14ac:dyDescent="0.2">
      <c r="A105" s="178"/>
      <c r="B105" s="178"/>
      <c r="C105" s="178"/>
      <c r="D105" s="178"/>
      <c r="E105" s="178"/>
      <c r="F105" s="301"/>
      <c r="G105" s="301"/>
      <c r="H105" s="301"/>
      <c r="I105" s="301"/>
      <c r="J105" s="301"/>
      <c r="K105" s="301"/>
      <c r="L105" s="301"/>
      <c r="M105" s="301"/>
      <c r="N105" s="301"/>
      <c r="O105" s="291"/>
      <c r="P105" s="178"/>
      <c r="Q105" s="178"/>
      <c r="R105" s="178"/>
      <c r="S105" s="172"/>
      <c r="T105" s="178"/>
      <c r="U105" s="106"/>
      <c r="W105" s="107" t="s">
        <v>229</v>
      </c>
      <c r="X105" s="101" t="s">
        <v>227</v>
      </c>
      <c r="Y105" s="100" t="s">
        <v>242</v>
      </c>
      <c r="AS105" s="102"/>
    </row>
    <row r="106" spans="1:45" ht="15" customHeight="1" x14ac:dyDescent="0.2">
      <c r="A106" s="178"/>
      <c r="B106" s="178"/>
      <c r="C106" s="178"/>
      <c r="D106" s="178"/>
      <c r="E106" s="178"/>
      <c r="F106" s="302" t="str">
        <f>IF('Decision making tool'!B55="", "",IF('Decision making tool'!AA22="no*", "","Total potential savings per year, considering conditions for evaporative cooling (See Question 7)"))</f>
        <v/>
      </c>
      <c r="G106" s="302"/>
      <c r="H106" s="302"/>
      <c r="I106" s="302"/>
      <c r="J106" s="302"/>
      <c r="K106" s="302"/>
      <c r="L106" s="302"/>
      <c r="M106" s="302"/>
      <c r="N106" s="302"/>
      <c r="O106" s="299" t="str">
        <f>IF('Decision making tool'!AA22="no*", "",IF(Calculations!J14=Calculations!J6, 0, 'Decision making tool'!S91))</f>
        <v/>
      </c>
      <c r="P106" s="178"/>
      <c r="Q106" s="178"/>
      <c r="R106" s="178"/>
      <c r="S106" s="172"/>
      <c r="T106" s="178"/>
      <c r="U106" s="106"/>
      <c r="AS106" s="102"/>
    </row>
    <row r="107" spans="1:45" ht="15" customHeight="1" x14ac:dyDescent="0.2">
      <c r="A107" s="178"/>
      <c r="B107" s="178"/>
      <c r="C107" s="178"/>
      <c r="D107" s="178"/>
      <c r="E107" s="178"/>
      <c r="F107" s="302"/>
      <c r="G107" s="302"/>
      <c r="H107" s="302"/>
      <c r="I107" s="302"/>
      <c r="J107" s="302"/>
      <c r="K107" s="302"/>
      <c r="L107" s="302"/>
      <c r="M107" s="302"/>
      <c r="N107" s="302"/>
      <c r="O107" s="300"/>
      <c r="P107" s="178"/>
      <c r="Q107" s="178"/>
      <c r="R107" s="178"/>
      <c r="S107" s="172"/>
      <c r="T107" s="178"/>
      <c r="U107" s="106"/>
      <c r="W107" s="107" t="s">
        <v>231</v>
      </c>
      <c r="X107" s="101" t="s">
        <v>226</v>
      </c>
      <c r="Y107" s="100" t="s">
        <v>236</v>
      </c>
      <c r="AS107" s="102"/>
    </row>
    <row r="108" spans="1:45" ht="15" customHeight="1" x14ac:dyDescent="0.2">
      <c r="A108" s="178"/>
      <c r="B108" s="178"/>
      <c r="C108" s="178"/>
      <c r="D108" s="178"/>
      <c r="E108" s="178"/>
      <c r="F108" s="302" t="str">
        <f>IF('Decision making tool'!AA22="no*", "",""&amp;'Decision making tool'!B60&amp;" (See Question 6)")</f>
        <v/>
      </c>
      <c r="G108" s="302"/>
      <c r="H108" s="302"/>
      <c r="I108" s="302"/>
      <c r="J108" s="302"/>
      <c r="K108" s="302"/>
      <c r="L108" s="302"/>
      <c r="M108" s="302"/>
      <c r="N108" s="302"/>
      <c r="O108" s="299" t="str">
        <f>'Decision making tool'!I60</f>
        <v/>
      </c>
      <c r="P108" s="178"/>
      <c r="Q108" s="178"/>
      <c r="R108" s="178"/>
      <c r="S108" s="172"/>
      <c r="T108" s="178"/>
      <c r="U108" s="106"/>
      <c r="W108" s="107" t="s">
        <v>231</v>
      </c>
      <c r="X108" s="101" t="s">
        <v>227</v>
      </c>
      <c r="Y108" s="100" t="s">
        <v>242</v>
      </c>
      <c r="AS108" s="102"/>
    </row>
    <row r="109" spans="1:45" ht="15" customHeight="1" x14ac:dyDescent="0.2">
      <c r="A109" s="178"/>
      <c r="B109" s="178"/>
      <c r="C109" s="178"/>
      <c r="D109" s="178"/>
      <c r="E109" s="178"/>
      <c r="F109" s="302"/>
      <c r="G109" s="302"/>
      <c r="H109" s="302"/>
      <c r="I109" s="302"/>
      <c r="J109" s="302"/>
      <c r="K109" s="302"/>
      <c r="L109" s="302"/>
      <c r="M109" s="302"/>
      <c r="N109" s="302"/>
      <c r="O109" s="300"/>
      <c r="P109" s="178"/>
      <c r="Q109" s="178"/>
      <c r="R109" s="178"/>
      <c r="S109" s="172"/>
      <c r="T109" s="178"/>
      <c r="U109" s="106"/>
      <c r="W109" s="107" t="s">
        <v>230</v>
      </c>
      <c r="X109" s="101" t="s">
        <v>226</v>
      </c>
      <c r="Y109" s="100" t="str">
        <f>"The cost of a "&amp;W93&amp;" evaporative cooling device is greater than the financial savings that evaporative cooling devices can provide"</f>
        <v>The cost of a error evaporative cooling device is greater than the financial savings that evaporative cooling devices can provide</v>
      </c>
      <c r="AS109" s="102"/>
    </row>
    <row r="110" spans="1:45" ht="15" customHeight="1" x14ac:dyDescent="0.2">
      <c r="A110" s="178"/>
      <c r="B110" s="178"/>
      <c r="C110" s="178"/>
      <c r="D110" s="178"/>
      <c r="E110" s="178"/>
      <c r="F110" s="362" t="str">
        <f>IF('Decision making tool'!AA22="no*","",IF('Decision making tool'!J44="no","Cost benefit of a brick evaporative cooling chamber over one year", IF('Decision making tool'!J44="yes","Cost benefit of a clay pot cooler over one year", "")))</f>
        <v/>
      </c>
      <c r="G110" s="362"/>
      <c r="H110" s="362"/>
      <c r="I110" s="362"/>
      <c r="J110" s="362"/>
      <c r="K110" s="362"/>
      <c r="L110" s="362"/>
      <c r="M110" s="362"/>
      <c r="N110" s="362"/>
      <c r="O110" s="360" t="str">
        <f>IF('Decision making tool'!AA22="no*", "",O106-O108)</f>
        <v/>
      </c>
      <c r="P110" s="178"/>
      <c r="Q110" s="178"/>
      <c r="R110" s="178"/>
      <c r="S110" s="172"/>
      <c r="T110" s="178"/>
      <c r="U110" s="106"/>
      <c r="W110" s="107" t="s">
        <v>230</v>
      </c>
      <c r="X110" s="101" t="s">
        <v>227</v>
      </c>
      <c r="Y110" s="100" t="s">
        <v>242</v>
      </c>
      <c r="AS110" s="102"/>
    </row>
    <row r="111" spans="1:45" ht="15" customHeight="1" x14ac:dyDescent="0.2">
      <c r="A111" s="178"/>
      <c r="B111" s="178"/>
      <c r="C111" s="178"/>
      <c r="D111" s="178"/>
      <c r="E111" s="178"/>
      <c r="F111" s="362"/>
      <c r="G111" s="362"/>
      <c r="H111" s="362"/>
      <c r="I111" s="362"/>
      <c r="J111" s="362"/>
      <c r="K111" s="362"/>
      <c r="L111" s="362"/>
      <c r="M111" s="362"/>
      <c r="N111" s="362"/>
      <c r="O111" s="361"/>
      <c r="P111" s="178"/>
      <c r="Q111" s="178"/>
      <c r="R111" s="178"/>
      <c r="S111" s="172"/>
      <c r="T111" s="178"/>
      <c r="U111" s="106"/>
      <c r="W111" s="107" t="s">
        <v>237</v>
      </c>
      <c r="X111" s="101" t="s">
        <v>226</v>
      </c>
      <c r="Y111" s="100" t="s">
        <v>241</v>
      </c>
      <c r="AS111" s="102"/>
    </row>
    <row r="112" spans="1:45" ht="15" customHeight="1" x14ac:dyDescent="0.2">
      <c r="A112" s="178"/>
      <c r="B112" s="178"/>
      <c r="C112" s="178"/>
      <c r="D112" s="178"/>
      <c r="E112" s="178"/>
      <c r="F112" s="207"/>
      <c r="G112" s="208"/>
      <c r="H112" s="208"/>
      <c r="I112" s="178"/>
      <c r="J112" s="178"/>
      <c r="K112" s="178"/>
      <c r="L112" s="178"/>
      <c r="M112" s="178"/>
      <c r="N112" s="178"/>
      <c r="O112" s="178"/>
      <c r="P112" s="178"/>
      <c r="Q112" s="178"/>
      <c r="R112" s="178"/>
      <c r="S112" s="172"/>
      <c r="T112" s="178"/>
      <c r="U112" s="106"/>
      <c r="W112" s="107" t="s">
        <v>237</v>
      </c>
      <c r="X112" s="101" t="s">
        <v>227</v>
      </c>
      <c r="Y112" s="100" t="s">
        <v>241</v>
      </c>
      <c r="AS112" s="102"/>
    </row>
    <row r="113" spans="1:45" ht="15" customHeight="1" x14ac:dyDescent="0.2">
      <c r="A113" s="178"/>
      <c r="B113" s="354" t="str">
        <f>IF(S88=0, Y104, IF(S91=0, Y107, IF(O110&gt;=0, Y102,Y109)))</f>
        <v>No savings have been entered into the table for Question 7</v>
      </c>
      <c r="C113" s="354"/>
      <c r="D113" s="354"/>
      <c r="E113" s="354"/>
      <c r="F113" s="354"/>
      <c r="G113" s="354"/>
      <c r="H113" s="354"/>
      <c r="I113" s="354"/>
      <c r="J113" s="354"/>
      <c r="K113" s="354"/>
      <c r="L113" s="354"/>
      <c r="M113" s="354"/>
      <c r="N113" s="354"/>
      <c r="O113" s="354"/>
      <c r="P113" s="354"/>
      <c r="Q113" s="354"/>
      <c r="R113" s="354"/>
      <c r="S113" s="354"/>
      <c r="T113" s="178"/>
      <c r="U113" s="106"/>
      <c r="AS113" s="102"/>
    </row>
    <row r="114" spans="1:45" ht="15" customHeight="1" x14ac:dyDescent="0.2">
      <c r="A114" s="178"/>
      <c r="B114" s="354"/>
      <c r="C114" s="354"/>
      <c r="D114" s="354"/>
      <c r="E114" s="354"/>
      <c r="F114" s="354"/>
      <c r="G114" s="354"/>
      <c r="H114" s="354"/>
      <c r="I114" s="354"/>
      <c r="J114" s="354"/>
      <c r="K114" s="354"/>
      <c r="L114" s="354"/>
      <c r="M114" s="354"/>
      <c r="N114" s="354"/>
      <c r="O114" s="354"/>
      <c r="P114" s="354"/>
      <c r="Q114" s="354"/>
      <c r="R114" s="354"/>
      <c r="S114" s="354"/>
      <c r="T114" s="178"/>
      <c r="U114" s="106"/>
      <c r="AS114" s="102"/>
    </row>
    <row r="115" spans="1:45" ht="15" customHeight="1" x14ac:dyDescent="0.2">
      <c r="A115" s="178"/>
      <c r="B115" s="298" t="str">
        <f>IF(S88=0, Y105, IF(S91=0, Y108, IF(O110&gt;=0, Y103,Y110)))</f>
        <v>Consider non-financial benefits that improved vegetable storage can provide during times of the year when evaporative cooling devices perform well (See Section 1)</v>
      </c>
      <c r="C115" s="298"/>
      <c r="D115" s="298"/>
      <c r="E115" s="298"/>
      <c r="F115" s="298"/>
      <c r="G115" s="298"/>
      <c r="H115" s="298"/>
      <c r="I115" s="298"/>
      <c r="J115" s="298"/>
      <c r="K115" s="298"/>
      <c r="L115" s="298"/>
      <c r="M115" s="298"/>
      <c r="N115" s="298"/>
      <c r="O115" s="298"/>
      <c r="P115" s="298"/>
      <c r="Q115" s="298"/>
      <c r="R115" s="298"/>
      <c r="S115" s="298"/>
      <c r="T115" s="178"/>
      <c r="U115" s="106"/>
      <c r="AS115" s="102"/>
    </row>
    <row r="116" spans="1:45" ht="15" customHeight="1" x14ac:dyDescent="0.2">
      <c r="A116" s="178"/>
      <c r="B116" s="298"/>
      <c r="C116" s="298"/>
      <c r="D116" s="298"/>
      <c r="E116" s="298"/>
      <c r="F116" s="298"/>
      <c r="G116" s="298"/>
      <c r="H116" s="298"/>
      <c r="I116" s="298"/>
      <c r="J116" s="298"/>
      <c r="K116" s="298"/>
      <c r="L116" s="298"/>
      <c r="M116" s="298"/>
      <c r="N116" s="298"/>
      <c r="O116" s="298"/>
      <c r="P116" s="298"/>
      <c r="Q116" s="298"/>
      <c r="R116" s="298"/>
      <c r="S116" s="298"/>
      <c r="T116" s="178"/>
      <c r="U116" s="106"/>
      <c r="AS116" s="102"/>
    </row>
    <row r="117" spans="1:45" ht="15" customHeight="1" x14ac:dyDescent="0.2">
      <c r="A117" s="178"/>
      <c r="B117" s="209"/>
      <c r="C117" s="209"/>
      <c r="D117" s="209"/>
      <c r="E117" s="209"/>
      <c r="F117" s="209"/>
      <c r="G117" s="209"/>
      <c r="H117" s="209"/>
      <c r="I117" s="209"/>
      <c r="J117" s="209"/>
      <c r="K117" s="209"/>
      <c r="L117" s="209"/>
      <c r="M117" s="209"/>
      <c r="N117" s="209"/>
      <c r="O117" s="209"/>
      <c r="P117" s="209"/>
      <c r="Q117" s="209"/>
      <c r="R117" s="209"/>
      <c r="S117" s="209"/>
      <c r="T117" s="178"/>
      <c r="U117" s="106"/>
      <c r="AS117" s="102"/>
    </row>
    <row r="118" spans="1:45" ht="17" customHeight="1" x14ac:dyDescent="0.2">
      <c r="A118" s="178"/>
      <c r="B118" s="209"/>
      <c r="C118" s="209"/>
      <c r="D118" s="209"/>
      <c r="E118" s="209"/>
      <c r="F118" s="213"/>
      <c r="G118" s="213"/>
      <c r="H118" s="213"/>
      <c r="I118" s="213"/>
      <c r="J118" s="213"/>
      <c r="K118" s="213"/>
      <c r="L118" s="213"/>
      <c r="M118" s="213"/>
      <c r="N118" s="213"/>
      <c r="O118" s="213"/>
      <c r="P118" s="209"/>
      <c r="Q118" s="209"/>
      <c r="R118" s="209"/>
      <c r="S118" s="209"/>
      <c r="T118" s="178"/>
      <c r="U118" s="106"/>
      <c r="AS118" s="102"/>
    </row>
    <row r="119" spans="1:45" ht="17" customHeight="1" x14ac:dyDescent="0.2">
      <c r="A119" s="178"/>
      <c r="B119" s="210"/>
      <c r="C119" s="178"/>
      <c r="D119" s="210"/>
      <c r="E119" s="210"/>
      <c r="F119" s="286" t="s">
        <v>136</v>
      </c>
      <c r="G119" s="286"/>
      <c r="H119" s="286"/>
      <c r="I119" s="286"/>
      <c r="J119" s="286"/>
      <c r="K119" s="286"/>
      <c r="L119" s="286"/>
      <c r="M119" s="286"/>
      <c r="N119" s="286"/>
      <c r="O119" s="286"/>
      <c r="P119" s="210"/>
      <c r="Q119" s="210"/>
      <c r="R119" s="210"/>
      <c r="S119" s="210"/>
      <c r="T119" s="178"/>
      <c r="U119" s="106"/>
      <c r="AS119" s="102"/>
    </row>
    <row r="120" spans="1:45" ht="17" customHeight="1" x14ac:dyDescent="0.2">
      <c r="A120" s="178"/>
      <c r="B120" s="211"/>
      <c r="C120" s="178"/>
      <c r="D120" s="211"/>
      <c r="E120" s="211"/>
      <c r="F120" s="254" t="s">
        <v>523</v>
      </c>
      <c r="G120" s="287"/>
      <c r="H120" s="287"/>
      <c r="I120" s="287"/>
      <c r="J120" s="287"/>
      <c r="K120" s="287"/>
      <c r="L120" s="287"/>
      <c r="M120" s="287"/>
      <c r="N120" s="287"/>
      <c r="O120" s="287"/>
      <c r="P120" s="211"/>
      <c r="Q120" s="211"/>
      <c r="R120" s="211"/>
      <c r="S120" s="211"/>
      <c r="T120" s="178"/>
      <c r="U120" s="106"/>
      <c r="AS120" s="102"/>
    </row>
    <row r="121" spans="1:45" ht="17" customHeight="1" x14ac:dyDescent="0.2">
      <c r="A121" s="178"/>
      <c r="B121" s="211"/>
      <c r="C121" s="178"/>
      <c r="D121" s="211"/>
      <c r="E121" s="211"/>
      <c r="F121" s="286"/>
      <c r="G121" s="286"/>
      <c r="H121" s="286"/>
      <c r="I121" s="286"/>
      <c r="J121" s="286"/>
      <c r="K121" s="286"/>
      <c r="L121" s="286"/>
      <c r="M121" s="286"/>
      <c r="N121" s="286"/>
      <c r="O121" s="286"/>
      <c r="P121" s="211"/>
      <c r="Q121" s="211"/>
      <c r="R121" s="211"/>
      <c r="S121" s="211"/>
      <c r="T121" s="178"/>
      <c r="U121" s="106"/>
      <c r="AS121" s="102"/>
    </row>
    <row r="122" spans="1:45" ht="17" customHeight="1" x14ac:dyDescent="0.2">
      <c r="A122" s="178"/>
      <c r="B122" s="209"/>
      <c r="C122" s="178"/>
      <c r="D122" s="209"/>
      <c r="E122" s="209"/>
      <c r="F122" s="286" t="s">
        <v>135</v>
      </c>
      <c r="G122" s="286"/>
      <c r="H122" s="286"/>
      <c r="I122" s="286"/>
      <c r="J122" s="286"/>
      <c r="K122" s="286"/>
      <c r="L122" s="286"/>
      <c r="M122" s="286"/>
      <c r="N122" s="286"/>
      <c r="O122" s="286"/>
      <c r="P122" s="212"/>
      <c r="Q122" s="212"/>
      <c r="R122" s="212"/>
      <c r="S122" s="190"/>
      <c r="T122" s="178"/>
      <c r="U122" s="106"/>
      <c r="AS122" s="102"/>
    </row>
    <row r="123" spans="1:45" ht="17" customHeight="1" x14ac:dyDescent="0.2">
      <c r="A123" s="178"/>
      <c r="B123" s="209"/>
      <c r="C123" s="178"/>
      <c r="D123" s="209"/>
      <c r="E123" s="209"/>
      <c r="F123" s="254" t="s">
        <v>527</v>
      </c>
      <c r="G123" s="287"/>
      <c r="H123" s="287"/>
      <c r="I123" s="287"/>
      <c r="J123" s="287"/>
      <c r="K123" s="287"/>
      <c r="L123" s="287"/>
      <c r="M123" s="287"/>
      <c r="N123" s="287"/>
      <c r="O123" s="287"/>
      <c r="P123" s="212"/>
      <c r="Q123" s="212"/>
      <c r="R123" s="212"/>
      <c r="S123" s="190"/>
      <c r="T123" s="178"/>
      <c r="U123" s="106"/>
      <c r="AS123" s="102"/>
    </row>
    <row r="124" spans="1:45" ht="17" customHeight="1" x14ac:dyDescent="0.2">
      <c r="A124" s="178"/>
      <c r="B124" s="209"/>
      <c r="C124" s="178"/>
      <c r="D124" s="209"/>
      <c r="E124" s="209"/>
      <c r="F124" s="286"/>
      <c r="G124" s="286"/>
      <c r="H124" s="286"/>
      <c r="I124" s="286"/>
      <c r="J124" s="286"/>
      <c r="K124" s="286"/>
      <c r="L124" s="286"/>
      <c r="M124" s="286"/>
      <c r="N124" s="286"/>
      <c r="O124" s="286"/>
      <c r="P124" s="209"/>
      <c r="Q124" s="209"/>
      <c r="R124" s="209"/>
      <c r="S124" s="209"/>
      <c r="T124" s="178"/>
      <c r="U124" s="106"/>
      <c r="AS124" s="102"/>
    </row>
    <row r="125" spans="1:45" ht="17" customHeight="1" x14ac:dyDescent="0.2">
      <c r="A125" s="178"/>
      <c r="B125" s="209"/>
      <c r="C125" s="178"/>
      <c r="D125" s="209"/>
      <c r="E125" s="209"/>
      <c r="F125" s="286" t="s">
        <v>137</v>
      </c>
      <c r="G125" s="286"/>
      <c r="H125" s="286"/>
      <c r="I125" s="286"/>
      <c r="J125" s="286"/>
      <c r="K125" s="286"/>
      <c r="L125" s="286"/>
      <c r="M125" s="286"/>
      <c r="N125" s="286"/>
      <c r="O125" s="286"/>
      <c r="P125" s="209"/>
      <c r="Q125" s="209"/>
      <c r="R125" s="209"/>
      <c r="S125" s="209"/>
      <c r="T125" s="178"/>
      <c r="U125" s="106"/>
      <c r="AS125" s="102"/>
    </row>
    <row r="126" spans="1:45" ht="17" customHeight="1" x14ac:dyDescent="0.2">
      <c r="A126" s="178"/>
      <c r="B126" s="209"/>
      <c r="C126" s="178"/>
      <c r="D126" s="209"/>
      <c r="E126" s="209"/>
      <c r="F126" s="254" t="s">
        <v>528</v>
      </c>
      <c r="G126" s="255"/>
      <c r="H126" s="255"/>
      <c r="I126" s="255"/>
      <c r="J126" s="255"/>
      <c r="K126" s="255"/>
      <c r="L126" s="255"/>
      <c r="M126" s="255"/>
      <c r="N126" s="255"/>
      <c r="O126" s="255"/>
      <c r="P126" s="209"/>
      <c r="Q126" s="209"/>
      <c r="R126" s="209"/>
      <c r="S126" s="209"/>
      <c r="T126" s="178"/>
      <c r="U126" s="106"/>
      <c r="AS126" s="102"/>
    </row>
    <row r="127" spans="1:45" ht="17" customHeight="1" x14ac:dyDescent="0.2">
      <c r="A127" s="178"/>
      <c r="B127" s="178"/>
      <c r="C127" s="178"/>
      <c r="D127" s="178"/>
      <c r="E127" s="178"/>
      <c r="F127" s="214"/>
      <c r="G127" s="214"/>
      <c r="H127" s="214"/>
      <c r="I127" s="214"/>
      <c r="J127" s="214"/>
      <c r="K127" s="214"/>
      <c r="L127" s="214"/>
      <c r="M127" s="214"/>
      <c r="N127" s="214"/>
      <c r="O127" s="214"/>
      <c r="P127" s="178"/>
      <c r="Q127" s="178"/>
      <c r="R127" s="178"/>
      <c r="S127" s="172"/>
      <c r="T127" s="178"/>
      <c r="U127" s="106"/>
      <c r="AS127" s="102"/>
    </row>
    <row r="128" spans="1:45" ht="15" customHeight="1" x14ac:dyDescent="0.2">
      <c r="A128" s="178"/>
      <c r="B128" s="178"/>
      <c r="C128" s="178"/>
      <c r="D128" s="178"/>
      <c r="E128" s="178"/>
      <c r="F128" s="178"/>
      <c r="G128" s="178"/>
      <c r="H128" s="178"/>
      <c r="I128" s="178"/>
      <c r="J128" s="178"/>
      <c r="K128" s="178"/>
      <c r="L128" s="178"/>
      <c r="M128" s="178"/>
      <c r="N128" s="178"/>
      <c r="O128" s="178"/>
      <c r="P128" s="178"/>
      <c r="Q128" s="178"/>
      <c r="R128" s="178"/>
      <c r="S128" s="172"/>
      <c r="T128" s="178"/>
      <c r="U128" s="106"/>
      <c r="AS128" s="102"/>
    </row>
    <row r="129" spans="1:45" ht="15" customHeight="1" x14ac:dyDescent="0.2">
      <c r="A129" s="178"/>
      <c r="B129" s="178"/>
      <c r="C129" s="178"/>
      <c r="D129" s="178"/>
      <c r="E129" s="178"/>
      <c r="F129" s="178"/>
      <c r="G129" s="178"/>
      <c r="H129" s="178"/>
      <c r="I129" s="178"/>
      <c r="J129" s="178"/>
      <c r="K129" s="178"/>
      <c r="L129" s="178"/>
      <c r="M129" s="178"/>
      <c r="N129" s="178"/>
      <c r="O129" s="178"/>
      <c r="P129" s="178"/>
      <c r="Q129" s="178"/>
      <c r="R129" s="178"/>
      <c r="S129" s="172"/>
      <c r="T129" s="178"/>
      <c r="U129" s="106"/>
      <c r="AS129" s="102"/>
    </row>
    <row r="130" spans="1:45" ht="15" customHeight="1" x14ac:dyDescent="0.2">
      <c r="A130" s="159"/>
      <c r="B130" s="196"/>
      <c r="C130" s="159"/>
      <c r="D130" s="159"/>
      <c r="E130" s="159"/>
      <c r="F130" s="160"/>
      <c r="G130" s="161"/>
      <c r="H130" s="160"/>
      <c r="I130" s="159"/>
      <c r="J130" s="159"/>
      <c r="K130" s="159"/>
      <c r="L130" s="159"/>
      <c r="M130" s="159"/>
      <c r="N130" s="159"/>
      <c r="O130" s="159"/>
      <c r="P130" s="159"/>
      <c r="Q130" s="159"/>
      <c r="R130" s="159"/>
      <c r="S130" s="159"/>
      <c r="T130" s="159"/>
      <c r="U130" s="106"/>
      <c r="AS130" s="102"/>
    </row>
    <row r="131" spans="1:45" ht="15" customHeight="1" x14ac:dyDescent="0.2">
      <c r="A131" s="159"/>
      <c r="B131" s="159"/>
      <c r="C131" s="160"/>
      <c r="D131" s="160" t="s">
        <v>529</v>
      </c>
      <c r="E131" s="242"/>
      <c r="F131" s="243"/>
      <c r="G131" s="243"/>
      <c r="H131" s="242"/>
      <c r="I131" s="159"/>
      <c r="J131" s="159"/>
      <c r="K131" s="159"/>
      <c r="L131" s="159"/>
      <c r="M131" s="159"/>
      <c r="N131" s="159"/>
      <c r="O131" s="160"/>
      <c r="P131" s="163" t="s">
        <v>55</v>
      </c>
      <c r="Q131" s="160"/>
      <c r="R131" s="160"/>
      <c r="S131" s="160"/>
      <c r="T131" s="159"/>
      <c r="U131" s="106"/>
      <c r="AS131" s="102"/>
    </row>
    <row r="132" spans="1:45" ht="15" customHeight="1" x14ac:dyDescent="0.2">
      <c r="A132" s="159"/>
      <c r="B132" s="159"/>
      <c r="C132" s="159"/>
      <c r="D132" s="160" t="s">
        <v>522</v>
      </c>
      <c r="E132" s="160"/>
      <c r="F132" s="160"/>
      <c r="G132" s="162"/>
      <c r="H132" s="160"/>
      <c r="I132" s="160"/>
      <c r="J132" s="160"/>
      <c r="K132" s="160"/>
      <c r="L132" s="159"/>
      <c r="M132" s="159"/>
      <c r="N132" s="159"/>
      <c r="O132" s="164"/>
      <c r="P132" s="164" t="s">
        <v>56</v>
      </c>
      <c r="Q132" s="164"/>
      <c r="R132" s="160"/>
      <c r="S132" s="160"/>
      <c r="T132" s="159"/>
      <c r="U132" s="106"/>
      <c r="AS132" s="102"/>
    </row>
    <row r="133" spans="1:45" ht="15" customHeight="1" x14ac:dyDescent="0.2">
      <c r="A133" s="159"/>
      <c r="B133" s="159"/>
      <c r="C133" s="159"/>
      <c r="D133" s="160"/>
      <c r="E133" s="159"/>
      <c r="F133" s="159"/>
      <c r="G133" s="159"/>
      <c r="H133" s="159"/>
      <c r="I133" s="159"/>
      <c r="J133" s="159"/>
      <c r="K133" s="159"/>
      <c r="L133" s="159"/>
      <c r="M133" s="159"/>
      <c r="N133" s="159"/>
      <c r="O133" s="159"/>
      <c r="P133" s="159"/>
      <c r="Q133" s="159"/>
      <c r="R133" s="159"/>
      <c r="S133" s="159"/>
      <c r="T133" s="159"/>
      <c r="U133" s="106"/>
      <c r="AS133" s="102"/>
    </row>
    <row r="134" spans="1:45" ht="14" hidden="1" customHeight="1" x14ac:dyDescent="0.2">
      <c r="AS134" s="102"/>
    </row>
    <row r="135" spans="1:45" ht="14" hidden="1" customHeight="1" x14ac:dyDescent="0.2">
      <c r="AS135" s="102"/>
    </row>
    <row r="136" spans="1:45" ht="14" hidden="1" customHeight="1" x14ac:dyDescent="0.2">
      <c r="AS136" s="102"/>
    </row>
    <row r="137" spans="1:45" ht="14" hidden="1" customHeight="1" x14ac:dyDescent="0.2">
      <c r="AS137" s="102"/>
    </row>
    <row r="138" spans="1:45" ht="14" hidden="1" customHeight="1" x14ac:dyDescent="0.2">
      <c r="AS138" s="102"/>
    </row>
    <row r="139" spans="1:45" ht="14" hidden="1" customHeight="1" x14ac:dyDescent="0.2">
      <c r="AS139" s="102"/>
    </row>
    <row r="140" spans="1:45" ht="14" hidden="1" customHeight="1" x14ac:dyDescent="0.2">
      <c r="AS140" s="102"/>
    </row>
    <row r="141" spans="1:45" ht="14" hidden="1" customHeight="1" x14ac:dyDescent="0.2">
      <c r="AS141" s="102"/>
    </row>
    <row r="142" spans="1:45" ht="14" hidden="1" customHeight="1" x14ac:dyDescent="0.2">
      <c r="AS142" s="102"/>
    </row>
    <row r="143" spans="1:45" ht="14" hidden="1" customHeight="1" x14ac:dyDescent="0.2">
      <c r="AS143" s="102"/>
    </row>
    <row r="144" spans="1:45" ht="14" hidden="1" customHeight="1" x14ac:dyDescent="0.2">
      <c r="AS144" s="102"/>
    </row>
    <row r="145" spans="45:45" ht="14" hidden="1" customHeight="1" x14ac:dyDescent="0.2">
      <c r="AS145" s="102"/>
    </row>
    <row r="146" spans="45:45" ht="14" hidden="1" customHeight="1" x14ac:dyDescent="0.2">
      <c r="AS146" s="102"/>
    </row>
    <row r="147" spans="45:45" ht="14" hidden="1" customHeight="1" x14ac:dyDescent="0.2">
      <c r="AS147" s="102"/>
    </row>
    <row r="148" spans="45:45" ht="14" hidden="1" customHeight="1" x14ac:dyDescent="0.2"/>
    <row r="149" spans="45:45" ht="14" hidden="1" customHeight="1" x14ac:dyDescent="0.2"/>
    <row r="150" spans="45:45" ht="14" hidden="1" customHeight="1" x14ac:dyDescent="0.2"/>
    <row r="151" spans="45:45" ht="14" hidden="1" customHeight="1" x14ac:dyDescent="0.2"/>
    <row r="152" spans="45:45" ht="14" hidden="1" customHeight="1" x14ac:dyDescent="0.2"/>
    <row r="153" spans="45:45" ht="14" hidden="1" customHeight="1" x14ac:dyDescent="0.2"/>
    <row r="154" spans="45:45" ht="14" hidden="1" customHeight="1" x14ac:dyDescent="0.2"/>
    <row r="155" spans="45:45" ht="14" hidden="1" customHeight="1" x14ac:dyDescent="0.2"/>
    <row r="156" spans="45:45" ht="14" hidden="1" customHeight="1" x14ac:dyDescent="0.2"/>
    <row r="157" spans="45:45" ht="14" hidden="1" customHeight="1" x14ac:dyDescent="0.2"/>
    <row r="158" spans="45:45" ht="14" hidden="1" customHeight="1" x14ac:dyDescent="0.2"/>
    <row r="159" spans="45:45" ht="14" hidden="1" customHeight="1" x14ac:dyDescent="0.2"/>
    <row r="160" spans="45:45" ht="14" hidden="1" customHeight="1" x14ac:dyDescent="0.2"/>
    <row r="161" ht="14" hidden="1" customHeight="1" x14ac:dyDescent="0.2"/>
    <row r="162" ht="14" hidden="1" customHeight="1" x14ac:dyDescent="0.2"/>
    <row r="163" ht="14" hidden="1" customHeight="1" x14ac:dyDescent="0.2"/>
    <row r="164" ht="14" hidden="1" customHeight="1" x14ac:dyDescent="0.2"/>
    <row r="165" ht="14" hidden="1" customHeight="1" x14ac:dyDescent="0.2"/>
    <row r="166" ht="14" hidden="1" customHeight="1" x14ac:dyDescent="0.2"/>
    <row r="167" ht="14" hidden="1" customHeight="1" x14ac:dyDescent="0.2"/>
    <row r="168" ht="14" hidden="1" customHeight="1" x14ac:dyDescent="0.2"/>
    <row r="169" ht="14" hidden="1" customHeight="1" x14ac:dyDescent="0.2"/>
    <row r="170" ht="14" hidden="1" customHeight="1" x14ac:dyDescent="0.2"/>
    <row r="171" ht="14" hidden="1" customHeight="1" x14ac:dyDescent="0.2"/>
    <row r="172" ht="14" hidden="1" customHeight="1" x14ac:dyDescent="0.2"/>
    <row r="173" ht="14" hidden="1" customHeight="1" x14ac:dyDescent="0.2"/>
    <row r="174" ht="14" hidden="1" customHeight="1" x14ac:dyDescent="0.2"/>
    <row r="175" ht="14" hidden="1" customHeight="1" x14ac:dyDescent="0.2"/>
    <row r="176" ht="14" hidden="1" customHeight="1" x14ac:dyDescent="0.2"/>
    <row r="177" ht="14" hidden="1" customHeight="1" x14ac:dyDescent="0.2"/>
    <row r="178" ht="14" hidden="1" customHeight="1" x14ac:dyDescent="0.2"/>
    <row r="179" ht="14" hidden="1" customHeight="1" x14ac:dyDescent="0.2"/>
    <row r="180" ht="14" hidden="1" customHeight="1" x14ac:dyDescent="0.2"/>
    <row r="181" ht="14" hidden="1" customHeight="1" x14ac:dyDescent="0.2"/>
    <row r="182" ht="14" hidden="1" customHeight="1" x14ac:dyDescent="0.2"/>
    <row r="183" ht="14" hidden="1" customHeight="1" x14ac:dyDescent="0.2"/>
    <row r="184" ht="14" hidden="1" customHeight="1" x14ac:dyDescent="0.2"/>
    <row r="185" ht="14" hidden="1" customHeight="1" x14ac:dyDescent="0.2"/>
    <row r="186" ht="14" hidden="1" customHeight="1" x14ac:dyDescent="0.2"/>
    <row r="187" ht="14" hidden="1" customHeight="1" x14ac:dyDescent="0.2"/>
    <row r="188" ht="14" hidden="1" customHeight="1" x14ac:dyDescent="0.2"/>
    <row r="189" ht="14" hidden="1" customHeight="1" x14ac:dyDescent="0.2"/>
    <row r="190" ht="14" hidden="1" customHeight="1" x14ac:dyDescent="0.2"/>
    <row r="191" ht="14" hidden="1" customHeight="1" x14ac:dyDescent="0.2"/>
    <row r="192" ht="14" hidden="1" customHeight="1" x14ac:dyDescent="0.2"/>
    <row r="193" ht="14" hidden="1" customHeight="1" x14ac:dyDescent="0.2"/>
    <row r="194" ht="14" hidden="1" customHeight="1" x14ac:dyDescent="0.2"/>
    <row r="195" ht="14" hidden="1" customHeight="1" x14ac:dyDescent="0.2"/>
    <row r="196" ht="14" hidden="1" customHeight="1" x14ac:dyDescent="0.2"/>
    <row r="197" ht="14" hidden="1" customHeight="1" x14ac:dyDescent="0.2"/>
    <row r="198" ht="14" hidden="1" customHeight="1" x14ac:dyDescent="0.2"/>
    <row r="199" ht="14" hidden="1" customHeight="1" x14ac:dyDescent="0.2"/>
    <row r="200" ht="14" hidden="1" customHeight="1" x14ac:dyDescent="0.2"/>
    <row r="201" ht="14" hidden="1" customHeight="1" x14ac:dyDescent="0.2"/>
    <row r="202" ht="14" hidden="1" customHeight="1" x14ac:dyDescent="0.2"/>
    <row r="203" ht="14" hidden="1" customHeight="1" x14ac:dyDescent="0.2"/>
    <row r="204" ht="14" hidden="1" customHeight="1" x14ac:dyDescent="0.2"/>
    <row r="205" ht="14" hidden="1" customHeight="1" x14ac:dyDescent="0.2"/>
    <row r="206" ht="14" hidden="1" customHeight="1" x14ac:dyDescent="0.2"/>
  </sheetData>
  <sheetProtection sheet="1" objects="1" scenarios="1"/>
  <mergeCells count="119">
    <mergeCell ref="G22:R22"/>
    <mergeCell ref="M53:M54"/>
    <mergeCell ref="B30:S31"/>
    <mergeCell ref="B13:H14"/>
    <mergeCell ref="D24:F24"/>
    <mergeCell ref="D25:F25"/>
    <mergeCell ref="B39:H39"/>
    <mergeCell ref="B55:C59"/>
    <mergeCell ref="B6:S8"/>
    <mergeCell ref="D43:I43"/>
    <mergeCell ref="D44:I44"/>
    <mergeCell ref="B41:S42"/>
    <mergeCell ref="K53:L54"/>
    <mergeCell ref="J39:S39"/>
    <mergeCell ref="D53:H54"/>
    <mergeCell ref="B27:F27"/>
    <mergeCell ref="B28:F28"/>
    <mergeCell ref="J20:R20"/>
    <mergeCell ref="J15:R17"/>
    <mergeCell ref="B9:S9"/>
    <mergeCell ref="J19:R19"/>
    <mergeCell ref="J18:R18"/>
    <mergeCell ref="D59:H59"/>
    <mergeCell ref="B22:C23"/>
    <mergeCell ref="B60:H60"/>
    <mergeCell ref="O108:O109"/>
    <mergeCell ref="O110:O111"/>
    <mergeCell ref="F108:N109"/>
    <mergeCell ref="F110:N111"/>
    <mergeCell ref="B64:S65"/>
    <mergeCell ref="D77:F77"/>
    <mergeCell ref="D78:F78"/>
    <mergeCell ref="D81:F81"/>
    <mergeCell ref="B89:F89"/>
    <mergeCell ref="D82:F82"/>
    <mergeCell ref="D84:F84"/>
    <mergeCell ref="D85:F85"/>
    <mergeCell ref="AA92:AC92"/>
    <mergeCell ref="AD93:AE93"/>
    <mergeCell ref="B113:S114"/>
    <mergeCell ref="B115:S116"/>
    <mergeCell ref="D86:F86"/>
    <mergeCell ref="D83:F83"/>
    <mergeCell ref="I91:I93"/>
    <mergeCell ref="J91:J93"/>
    <mergeCell ref="K91:K93"/>
    <mergeCell ref="B90:F90"/>
    <mergeCell ref="B44:C44"/>
    <mergeCell ref="D26:F26"/>
    <mergeCell ref="AF92:AH92"/>
    <mergeCell ref="AF93:AH93"/>
    <mergeCell ref="B88:F88"/>
    <mergeCell ref="P91:P93"/>
    <mergeCell ref="AA93:AC93"/>
    <mergeCell ref="G74:R74"/>
    <mergeCell ref="D87:F87"/>
    <mergeCell ref="D80:F80"/>
    <mergeCell ref="Y71:AJ71"/>
    <mergeCell ref="Y72:AJ72"/>
    <mergeCell ref="B76:C87"/>
    <mergeCell ref="D76:F76"/>
    <mergeCell ref="D79:F79"/>
    <mergeCell ref="Y93:Z93"/>
    <mergeCell ref="N91:N93"/>
    <mergeCell ref="B91:F93"/>
    <mergeCell ref="L91:L93"/>
    <mergeCell ref="R91:R93"/>
    <mergeCell ref="B71:M71"/>
    <mergeCell ref="B72:M72"/>
    <mergeCell ref="G91:G93"/>
    <mergeCell ref="AD92:AE92"/>
    <mergeCell ref="F121:O121"/>
    <mergeCell ref="F120:O120"/>
    <mergeCell ref="F119:O119"/>
    <mergeCell ref="Y92:Z92"/>
    <mergeCell ref="O104:O105"/>
    <mergeCell ref="B101:S102"/>
    <mergeCell ref="I53:I54"/>
    <mergeCell ref="B26:C26"/>
    <mergeCell ref="J43:K43"/>
    <mergeCell ref="B46:S47"/>
    <mergeCell ref="B32:S33"/>
    <mergeCell ref="O106:O107"/>
    <mergeCell ref="F104:N105"/>
    <mergeCell ref="F106:N107"/>
    <mergeCell ref="H91:H93"/>
    <mergeCell ref="B95:S98"/>
    <mergeCell ref="Q91:Q93"/>
    <mergeCell ref="M91:M93"/>
    <mergeCell ref="O91:O93"/>
    <mergeCell ref="L44:N44"/>
    <mergeCell ref="J44:K44"/>
    <mergeCell ref="L43:N43"/>
    <mergeCell ref="B43:C43"/>
    <mergeCell ref="S91:S93"/>
    <mergeCell ref="K59:Q59"/>
    <mergeCell ref="K57:Q58"/>
    <mergeCell ref="A10:T10"/>
    <mergeCell ref="F126:O126"/>
    <mergeCell ref="D55:H55"/>
    <mergeCell ref="D56:H56"/>
    <mergeCell ref="D57:H57"/>
    <mergeCell ref="D58:H58"/>
    <mergeCell ref="B74:C75"/>
    <mergeCell ref="D74:F75"/>
    <mergeCell ref="B68:S69"/>
    <mergeCell ref="B62:S63"/>
    <mergeCell ref="J13:R14"/>
    <mergeCell ref="B19:H20"/>
    <mergeCell ref="B17:H18"/>
    <mergeCell ref="B36:H37"/>
    <mergeCell ref="B50:S51"/>
    <mergeCell ref="D22:F23"/>
    <mergeCell ref="B24:C24"/>
    <mergeCell ref="B25:C25"/>
    <mergeCell ref="F125:O125"/>
    <mergeCell ref="F124:O124"/>
    <mergeCell ref="F123:O123"/>
    <mergeCell ref="F122:O122"/>
  </mergeCells>
  <conditionalFormatting sqref="AD92:AD93 J43:J44">
    <cfRule type="cellIs" dxfId="52" priority="463" operator="equal">
      <formula>"No"</formula>
    </cfRule>
    <cfRule type="cellIs" dxfId="51" priority="731" operator="equal">
      <formula>"Select (Yes/No)"</formula>
    </cfRule>
  </conditionalFormatting>
  <conditionalFormatting sqref="AD92:AD93 J43:J44">
    <cfRule type="cellIs" dxfId="50" priority="473" operator="equal">
      <formula>"Yes"</formula>
    </cfRule>
  </conditionalFormatting>
  <conditionalFormatting sqref="G88:R93">
    <cfRule type="cellIs" dxfId="49" priority="678" operator="equal">
      <formula>0</formula>
    </cfRule>
  </conditionalFormatting>
  <conditionalFormatting sqref="G28:R28 G90:R90">
    <cfRule type="notContainsBlanks" dxfId="48" priority="745">
      <formula>LEN(TRIM(G28))&gt;0</formula>
    </cfRule>
  </conditionalFormatting>
  <conditionalFormatting sqref="B44:N44">
    <cfRule type="expression" dxfId="47" priority="462">
      <formula>$B$44=""</formula>
    </cfRule>
  </conditionalFormatting>
  <conditionalFormatting sqref="Y93:AH93">
    <cfRule type="expression" dxfId="46" priority="366">
      <formula>$Y$93=""</formula>
    </cfRule>
  </conditionalFormatting>
  <conditionalFormatting sqref="B30:S31">
    <cfRule type="containsText" dxfId="45" priority="331" operator="containsText" text="can provide improved">
      <formula>NOT(ISERROR(SEARCH("can provide improved",B30)))</formula>
    </cfRule>
    <cfRule type="containsText" dxfId="44" priority="342" operator="containsText" text="operate">
      <formula>NOT(ISERROR(SEARCH("operate",B30)))</formula>
    </cfRule>
    <cfRule type="containsText" dxfId="43" priority="343" operator="containsText" text="there are no">
      <formula>NOT(ISERROR(SEARCH("there are no",B30)))</formula>
    </cfRule>
  </conditionalFormatting>
  <conditionalFormatting sqref="B62:S63 B64">
    <cfRule type="containsText" dxfId="42" priority="357" operator="containsText" text="savings">
      <formula>NOT(ISERROR(SEARCH("savings",B62)))</formula>
    </cfRule>
    <cfRule type="containsText" dxfId="41" priority="364" operator="containsText" text="enter">
      <formula>NOT(ISERROR(SEARCH("enter",B62)))</formula>
    </cfRule>
  </conditionalFormatting>
  <conditionalFormatting sqref="B46:S49">
    <cfRule type="containsText" dxfId="40" priority="441" operator="containsText" text="calculate">
      <formula>NOT(ISERROR(SEARCH("calculate",B46)))</formula>
    </cfRule>
  </conditionalFormatting>
  <conditionalFormatting sqref="B32">
    <cfRule type="containsText" dxfId="39" priority="332" operator="containsText" text="poor">
      <formula>NOT(ISERROR(SEARCH("poor",B32)))</formula>
    </cfRule>
  </conditionalFormatting>
  <conditionalFormatting sqref="B32:S33">
    <cfRule type="containsText" dxfId="38" priority="329" operator="containsText" text="#3">
      <formula>NOT(ISERROR(SEARCH("#3",B32)))</formula>
    </cfRule>
    <cfRule type="containsText" dxfId="37" priority="330" operator="containsText" text="detail">
      <formula>NOT(ISERROR(SEARCH("detail",B32)))</formula>
    </cfRule>
  </conditionalFormatting>
  <conditionalFormatting sqref="A70:U117">
    <cfRule type="expression" dxfId="36" priority="267" stopIfTrue="1">
      <formula>$X$60&lt;5</formula>
    </cfRule>
  </conditionalFormatting>
  <conditionalFormatting sqref="G90:R90">
    <cfRule type="containsText" dxfId="35" priority="325" operator="containsText" text="cooling">
      <formula>NOT(ISERROR(SEARCH("cooling",G90)))</formula>
    </cfRule>
  </conditionalFormatting>
  <conditionalFormatting sqref="G27:R27 G89:R89">
    <cfRule type="containsText" dxfId="34" priority="315" stopIfTrue="1" operator="containsText" text="Fair-Poor">
      <formula>NOT(ISERROR(SEARCH("Fair-Poor",G27)))</formula>
    </cfRule>
    <cfRule type="containsText" dxfId="33" priority="320" stopIfTrue="1" operator="containsText" text="Good-Fair">
      <formula>NOT(ISERROR(SEARCH("Good-Fair",G27)))</formula>
    </cfRule>
    <cfRule type="containsText" dxfId="32" priority="321" operator="containsText" text="Poor">
      <formula>NOT(ISERROR(SEARCH("Poor",G27)))</formula>
    </cfRule>
    <cfRule type="containsText" dxfId="31" priority="326" operator="containsText" text="Fair">
      <formula>NOT(ISERROR(SEARCH("Fair",G27)))</formula>
    </cfRule>
    <cfRule type="containsText" dxfId="30" priority="452" operator="containsText" text="Good">
      <formula>NOT(ISERROR(SEARCH("Good",G27)))</formula>
    </cfRule>
  </conditionalFormatting>
  <conditionalFormatting sqref="G28:R28 G90:R90">
    <cfRule type="containsText" dxfId="29" priority="442" operator="containsText" text="enter">
      <formula>NOT(ISERROR(SEARCH("enter",G28)))</formula>
    </cfRule>
  </conditionalFormatting>
  <conditionalFormatting sqref="B95:S98">
    <cfRule type="containsText" dxfId="28" priority="322" operator="containsText" text="have the potential">
      <formula>NOT(ISERROR(SEARCH("have the potential",B95)))</formula>
    </cfRule>
    <cfRule type="containsText" dxfId="27" priority="747" operator="containsText" text="not">
      <formula>NOT(ISERROR(SEARCH("not",B95)))</formula>
    </cfRule>
  </conditionalFormatting>
  <conditionalFormatting sqref="G25:R25">
    <cfRule type="containsText" dxfId="26" priority="293" stopIfTrue="1" operator="containsText" text="Select">
      <formula>NOT(ISERROR(SEARCH("Select",G25)))</formula>
    </cfRule>
  </conditionalFormatting>
  <conditionalFormatting sqref="D83:F87">
    <cfRule type="cellIs" dxfId="25" priority="314" operator="equal">
      <formula>" Enter any other items"</formula>
    </cfRule>
  </conditionalFormatting>
  <conditionalFormatting sqref="D78:F82">
    <cfRule type="cellIs" dxfId="24" priority="305" operator="equal">
      <formula>$W$78</formula>
    </cfRule>
  </conditionalFormatting>
  <conditionalFormatting sqref="O106:O108">
    <cfRule type="cellIs" dxfId="23" priority="291" operator="equal">
      <formula>0</formula>
    </cfRule>
  </conditionalFormatting>
  <conditionalFormatting sqref="B113:S114">
    <cfRule type="containsText" dxfId="22" priority="303" operator="containsText" text="not well suited">
      <formula>NOT(ISERROR(SEARCH("not well suited",B113)))</formula>
    </cfRule>
  </conditionalFormatting>
  <conditionalFormatting sqref="F108">
    <cfRule type="expression" dxfId="21" priority="292">
      <formula>$O$108=0</formula>
    </cfRule>
  </conditionalFormatting>
  <conditionalFormatting sqref="F106">
    <cfRule type="expression" dxfId="20" priority="302">
      <formula>$O$106=0</formula>
    </cfRule>
  </conditionalFormatting>
  <conditionalFormatting sqref="B113:S116">
    <cfRule type="expression" dxfId="19" priority="304">
      <formula>$B$113=$Y$102</formula>
    </cfRule>
  </conditionalFormatting>
  <conditionalFormatting sqref="A53:U56 A60:U117 A59:K59 A58:J58 A57:K57 R57:U59">
    <cfRule type="expression" dxfId="18" priority="265" stopIfTrue="1">
      <formula>$AA$21="no*"</formula>
    </cfRule>
    <cfRule type="expression" dxfId="17" priority="266" stopIfTrue="1">
      <formula>$AA$22="no*"</formula>
    </cfRule>
  </conditionalFormatting>
  <conditionalFormatting sqref="A41:U56 A60:U128 A59:K59 A58:J58 A57:K57 R57:U59">
    <cfRule type="expression" dxfId="16" priority="123" stopIfTrue="1">
      <formula>$AA$14="no*"</formula>
    </cfRule>
    <cfRule type="expression" dxfId="15" priority="264" stopIfTrue="1">
      <formula>$AA$19="no*"</formula>
    </cfRule>
  </conditionalFormatting>
  <conditionalFormatting sqref="R24">
    <cfRule type="containsText" dxfId="14" priority="12" stopIfTrue="1" operator="containsText" text="Select">
      <formula>NOT(ISERROR(SEARCH("Select",R24)))</formula>
    </cfRule>
  </conditionalFormatting>
  <conditionalFormatting sqref="Q24">
    <cfRule type="containsText" dxfId="13" priority="11" stopIfTrue="1" operator="containsText" text="Select">
      <formula>NOT(ISERROR(SEARCH("Select",Q24)))</formula>
    </cfRule>
  </conditionalFormatting>
  <conditionalFormatting sqref="P24">
    <cfRule type="containsText" dxfId="12" priority="10" stopIfTrue="1" operator="containsText" text="Select">
      <formula>NOT(ISERROR(SEARCH("Select",P24)))</formula>
    </cfRule>
  </conditionalFormatting>
  <conditionalFormatting sqref="O24">
    <cfRule type="containsText" dxfId="11" priority="9" stopIfTrue="1" operator="containsText" text="Select">
      <formula>NOT(ISERROR(SEARCH("Select",O24)))</formula>
    </cfRule>
  </conditionalFormatting>
  <conditionalFormatting sqref="N24">
    <cfRule type="containsText" dxfId="10" priority="8" stopIfTrue="1" operator="containsText" text="Select">
      <formula>NOT(ISERROR(SEARCH("Select",N24)))</formula>
    </cfRule>
  </conditionalFormatting>
  <conditionalFormatting sqref="M24">
    <cfRule type="containsText" dxfId="9" priority="7" stopIfTrue="1" operator="containsText" text="Select">
      <formula>NOT(ISERROR(SEARCH("Select",M24)))</formula>
    </cfRule>
  </conditionalFormatting>
  <conditionalFormatting sqref="L24">
    <cfRule type="containsText" dxfId="8" priority="6" stopIfTrue="1" operator="containsText" text="Select">
      <formula>NOT(ISERROR(SEARCH("Select",L24)))</formula>
    </cfRule>
  </conditionalFormatting>
  <conditionalFormatting sqref="K24">
    <cfRule type="containsText" dxfId="7" priority="5" stopIfTrue="1" operator="containsText" text="Select">
      <formula>NOT(ISERROR(SEARCH("Select",K24)))</formula>
    </cfRule>
  </conditionalFormatting>
  <conditionalFormatting sqref="J24">
    <cfRule type="containsText" dxfId="6" priority="4" stopIfTrue="1" operator="containsText" text="Select">
      <formula>NOT(ISERROR(SEARCH("Select",J24)))</formula>
    </cfRule>
  </conditionalFormatting>
  <conditionalFormatting sqref="I24">
    <cfRule type="containsText" dxfId="5" priority="3" stopIfTrue="1" operator="containsText" text="Select">
      <formula>NOT(ISERROR(SEARCH("Select",I24)))</formula>
    </cfRule>
  </conditionalFormatting>
  <conditionalFormatting sqref="H24">
    <cfRule type="containsText" dxfId="4" priority="2" stopIfTrue="1" operator="containsText" text="Select">
      <formula>NOT(ISERROR(SEARCH("Select",H24)))</formula>
    </cfRule>
  </conditionalFormatting>
  <conditionalFormatting sqref="G24">
    <cfRule type="containsText" dxfId="3" priority="1" stopIfTrue="1" operator="containsText" text="Select">
      <formula>NOT(ISERROR(SEARCH("Select",G24)))</formula>
    </cfRule>
  </conditionalFormatting>
  <dataValidations count="2">
    <dataValidation type="decimal" operator="greaterThanOrEqual" allowBlank="1" showInputMessage="1" showErrorMessage="1" sqref="I55:I59 G78:R87" xr:uid="{00000000-0002-0000-0000-000000000000}">
      <formula1>0</formula1>
    </dataValidation>
    <dataValidation type="list" allowBlank="1" showInputMessage="1" showErrorMessage="1" sqref="D78:F82" xr:uid="{00000000-0002-0000-0000-000001000000}">
      <formula1>$W$78:$W$83</formula1>
    </dataValidation>
  </dataValidations>
  <hyperlinks>
    <hyperlink ref="P3" r:id="rId1" xr:uid="{00000000-0004-0000-0000-000000000000}"/>
    <hyperlink ref="O2" r:id="rId2" display="http://creativecommons.org/licenses/by-sa/4.0/" xr:uid="{00000000-0004-0000-0000-000001000000}"/>
    <hyperlink ref="P2" r:id="rId3" xr:uid="{00000000-0004-0000-0000-000002000000}"/>
    <hyperlink ref="Q2" r:id="rId4" display="http://creativecommons.org/licenses/by-sa/4.0/" xr:uid="{00000000-0004-0000-0000-000003000000}"/>
    <hyperlink ref="R2" r:id="rId5" display="http://creativecommons.org/licenses/by-sa/4.0/" xr:uid="{00000000-0004-0000-0000-000004000000}"/>
    <hyperlink ref="S2" r:id="rId6" display="http://creativecommons.org/licenses/by-sa/4.0/" xr:uid="{00000000-0004-0000-0000-000005000000}"/>
    <hyperlink ref="O3" r:id="rId7" display="http://creativecommons.org/licenses/by-sa/4.0/" xr:uid="{00000000-0004-0000-0000-000006000000}"/>
    <hyperlink ref="Q3" r:id="rId8" display="http://creativecommons.org/licenses/by-sa/4.0/" xr:uid="{00000000-0004-0000-0000-000007000000}"/>
    <hyperlink ref="R3" r:id="rId9" display="http://creativecommons.org/licenses/by-sa/4.0/" xr:uid="{00000000-0004-0000-0000-000008000000}"/>
    <hyperlink ref="S3" r:id="rId10" display="http://creativecommons.org/licenses/by-sa/4.0/" xr:uid="{00000000-0004-0000-0000-000009000000}"/>
    <hyperlink ref="P132" r:id="rId11" xr:uid="{00000000-0004-0000-0000-000014000000}"/>
    <hyperlink ref="O131" r:id="rId12" display="http://creativecommons.org/licenses/by-sa/4.0/" xr:uid="{00000000-0004-0000-0000-000015000000}"/>
    <hyperlink ref="P131" r:id="rId13" xr:uid="{00000000-0004-0000-0000-000016000000}"/>
    <hyperlink ref="Q131" r:id="rId14" display="http://creativecommons.org/licenses/by-sa/4.0/" xr:uid="{00000000-0004-0000-0000-000017000000}"/>
    <hyperlink ref="R131" r:id="rId15" display="http://creativecommons.org/licenses/by-sa/4.0/" xr:uid="{00000000-0004-0000-0000-000018000000}"/>
    <hyperlink ref="S131" r:id="rId16" display="http://creativecommons.org/licenses/by-sa/4.0/" xr:uid="{00000000-0004-0000-0000-000019000000}"/>
    <hyperlink ref="O132" r:id="rId17" display="http://creativecommons.org/licenses/by-sa/4.0/" xr:uid="{00000000-0004-0000-0000-00001A000000}"/>
    <hyperlink ref="Q132" r:id="rId18" display="http://creativecommons.org/licenses/by-sa/4.0/" xr:uid="{00000000-0004-0000-0000-00001B000000}"/>
    <hyperlink ref="R132" r:id="rId19" display="http://creativecommons.org/licenses/by-sa/4.0/" xr:uid="{00000000-0004-0000-0000-00001C000000}"/>
    <hyperlink ref="S132" r:id="rId20" display="http://creativecommons.org/licenses/by-sa/4.0/" xr:uid="{00000000-0004-0000-0000-00001D000000}"/>
    <hyperlink ref="J20" r:id="rId21" xr:uid="{00000000-0004-0000-0000-000026000000}"/>
    <hyperlink ref="J18" r:id="rId22" xr:uid="{00000000-0004-0000-0000-000027000000}"/>
    <hyperlink ref="K18" r:id="rId23" display="http://hanschen.org/koppen/" xr:uid="{00000000-0004-0000-0000-000028000000}"/>
    <hyperlink ref="L18" r:id="rId24" display="http://hanschen.org/koppen/" xr:uid="{00000000-0004-0000-0000-000029000000}"/>
    <hyperlink ref="M18" r:id="rId25" display="http://hanschen.org/koppen/" xr:uid="{00000000-0004-0000-0000-00002A000000}"/>
    <hyperlink ref="N18" r:id="rId26" display="http://hanschen.org/koppen/" xr:uid="{00000000-0004-0000-0000-00002B000000}"/>
    <hyperlink ref="O18" r:id="rId27" display="http://hanschen.org/koppen/" xr:uid="{00000000-0004-0000-0000-00002C000000}"/>
    <hyperlink ref="P18" r:id="rId28" display="http://hanschen.org/koppen/" xr:uid="{00000000-0004-0000-0000-00002D000000}"/>
    <hyperlink ref="Q18" r:id="rId29" display="http://hanschen.org/koppen/" xr:uid="{00000000-0004-0000-0000-00002E000000}"/>
    <hyperlink ref="R18" r:id="rId30" display="http://hanschen.org/koppen/" xr:uid="{00000000-0004-0000-0000-00002F000000}"/>
    <hyperlink ref="K20" r:id="rId31" display="http://www.weatherbase.com/weather/countryall.php3" xr:uid="{00000000-0004-0000-0000-000030000000}"/>
    <hyperlink ref="L20" r:id="rId32" display="http://www.weatherbase.com/weather/countryall.php3" xr:uid="{00000000-0004-0000-0000-000031000000}"/>
    <hyperlink ref="M20" r:id="rId33" display="http://www.weatherbase.com/weather/countryall.php3" xr:uid="{00000000-0004-0000-0000-000032000000}"/>
    <hyperlink ref="N20" r:id="rId34" display="http://www.weatherbase.com/weather/countryall.php3" xr:uid="{00000000-0004-0000-0000-000033000000}"/>
    <hyperlink ref="O20" r:id="rId35" display="http://www.weatherbase.com/weather/countryall.php3" xr:uid="{00000000-0004-0000-0000-000034000000}"/>
    <hyperlink ref="P20" r:id="rId36" display="http://www.weatherbase.com/weather/countryall.php3" xr:uid="{00000000-0004-0000-0000-000035000000}"/>
    <hyperlink ref="Q20" r:id="rId37" display="http://www.weatherbase.com/weather/countryall.php3" xr:uid="{00000000-0004-0000-0000-000036000000}"/>
    <hyperlink ref="R20" r:id="rId38" display="http://www.weatherbase.com/weather/countryall.php3" xr:uid="{00000000-0004-0000-0000-000037000000}"/>
    <hyperlink ref="A10:T10" r:id="rId39" display="Information about evaporative cooling devices, such as &quot;evaporative cooling chambers&quot; and &quot;clay pot coolers&quot;, can be found at: http://d-lab.mit.edu/resources/projects/evaporative-cooling" xr:uid="{7FFD36FF-9E91-3D49-8BFF-410FC5BA5655}"/>
    <hyperlink ref="I132" r:id="rId40" display="http://cite.mit.edu/vegetable-cooling-and-storage-evaluation" xr:uid="{F1BBCCD7-88D1-8347-BA43-3B62074F4ED8}"/>
    <hyperlink ref="H132" r:id="rId41" display="http://cite.mit.edu/vegetable-cooling-and-storage-evaluation" xr:uid="{69A6A963-C442-BC44-A430-446BAA4D9D07}"/>
    <hyperlink ref="G132" r:id="rId42" display="http://cite.mit.edu/vegetable-cooling-and-storage-evaluation" xr:uid="{F0C645CC-FF31-9544-B07F-6EB042A55E9B}"/>
    <hyperlink ref="F132" r:id="rId43" display="http://cite.mit.edu/vegetable-cooling-and-storage-evaluation" xr:uid="{7651AEB5-0552-644B-A5F5-5EBC4C20B056}"/>
    <hyperlink ref="E132" r:id="rId44" display="http://cite.mit.edu/vegetable-cooling-and-storage-evaluation" xr:uid="{8140BF93-1079-4C48-BE0C-5D7D5CE2ED95}"/>
    <hyperlink ref="D132" r:id="rId45" display="as part of a research project on Low-Cost Vegetable Cooling and Storage Technologies" xr:uid="{547BF84B-A918-164B-8D04-AA96488EC060}"/>
    <hyperlink ref="G131" r:id="rId46" display="http://d-lab.mit.edu/off-grid-energy/" xr:uid="{7C956137-DD2C-B94F-B672-5A050564AD3E}"/>
    <hyperlink ref="F131" r:id="rId47" display="http://d-lab.mit.edu/off-grid-energy/" xr:uid="{98C9C2C3-1423-E341-AA62-CA3FCA72F89F}"/>
    <hyperlink ref="E131" r:id="rId48" display="http://d-lab.mit.edu/off-grid-energy/" xr:uid="{B90E15C3-CC05-3B4C-8E62-891C0F945413}"/>
    <hyperlink ref="D131" r:id="rId49" display="This tool was created by MIT D-Lab's Off Grid Energy Group" xr:uid="{690C0A85-328A-F54F-AF00-E278994C9008}"/>
    <hyperlink ref="D132:K132" r:id="rId50" display="as part of a research project on Evaporative Cooling Technologies for Improved Vegetable Storage in Mali" xr:uid="{4ED5A834-AE7D-3143-BCC9-67F25D4CA863}"/>
    <hyperlink ref="J20:R20" r:id="rId51" display="http://d-lab.mit.edu/resources/projects/evaporative-cooling/weather" xr:uid="{FA7211EA-9157-0348-812A-49B2CE459C4C}"/>
    <hyperlink ref="F120" r:id="rId52" xr:uid="{5C63645C-3FF8-A44E-A439-8AC7A15B2D96}"/>
    <hyperlink ref="F123" r:id="rId53" xr:uid="{40D8A92D-70C7-3644-A26B-8D1B9DC99BB9}"/>
    <hyperlink ref="F126" r:id="rId54" xr:uid="{F48A41AB-70FF-784C-95E0-009212B5042B}"/>
    <hyperlink ref="D131:H131" r:id="rId55" display="This tool was created by MIT D-Lab's Research Group" xr:uid="{B11B7CA6-4B02-2A4A-8175-486CAC842CD7}"/>
    <hyperlink ref="I3" r:id="rId56" display="http://cite.mit.edu/vegetable-cooling-and-storage-evaluation" xr:uid="{59456C77-ACC7-1944-B5EB-B78B15CE7FEA}"/>
    <hyperlink ref="H3" r:id="rId57" display="http://cite.mit.edu/vegetable-cooling-and-storage-evaluation" xr:uid="{3B635B76-440F-6848-8A74-F826681F585B}"/>
    <hyperlink ref="G3" r:id="rId58" display="http://cite.mit.edu/vegetable-cooling-and-storage-evaluation" xr:uid="{021CC7E9-A6EF-1B49-8560-5E86E3069AFD}"/>
    <hyperlink ref="F3" r:id="rId59" display="http://cite.mit.edu/vegetable-cooling-and-storage-evaluation" xr:uid="{D1117F65-D7CB-2E43-88C1-EFD5EA5829EA}"/>
    <hyperlink ref="E3" r:id="rId60" display="http://cite.mit.edu/vegetable-cooling-and-storage-evaluation" xr:uid="{BC5DAD42-0877-EE4B-99F7-E1A0492941E7}"/>
    <hyperlink ref="D3" r:id="rId61" display="as part of a research project on Low-Cost Vegetable Cooling and Storage Technologies" xr:uid="{8FE411E8-B0A5-514F-BAEF-C0F696935E3D}"/>
    <hyperlink ref="G2" r:id="rId62" display="http://d-lab.mit.edu/off-grid-energy/" xr:uid="{EA7C39DF-985F-E840-BD4C-CCF509E030FA}"/>
    <hyperlink ref="F2" r:id="rId63" display="http://d-lab.mit.edu/off-grid-energy/" xr:uid="{34F564F2-5E7E-B34B-A36A-4CF70CEF4BE1}"/>
    <hyperlink ref="E2" r:id="rId64" display="http://d-lab.mit.edu/off-grid-energy/" xr:uid="{63B7A1E8-D340-5841-BAA3-995E95786057}"/>
    <hyperlink ref="D2" r:id="rId65" display="This tool was created by MIT D-Lab's Off Grid Energy Group" xr:uid="{49992755-D74E-6A44-AAD5-B19E73EE37D6}"/>
    <hyperlink ref="D3:K3" r:id="rId66" display="as part of a research project on Evaporative Cooling Technologies for Improved Vegetable Storage in Mali" xr:uid="{E0B2CE9C-EC2B-AA4F-8D96-CD32384E3B3D}"/>
    <hyperlink ref="D2:H2" r:id="rId67" display="This tool was created by MIT D-Lab's Research Group" xr:uid="{A9CBA6B5-1808-5D4A-9F6C-8B253BFDD3E0}"/>
    <hyperlink ref="K59" r:id="rId68" xr:uid="{19BC2C03-F747-5E4C-94E0-84E31571A58A}"/>
  </hyperlinks>
  <pageMargins left="0.75" right="0.75" top="1" bottom="1" header="0.5" footer="0.5"/>
  <pageSetup orientation="portrait" horizontalDpi="4294967292" verticalDpi="4294967292"/>
  <drawing r:id="rId69"/>
  <legacyDrawing r:id="rId70"/>
  <mc:AlternateContent xmlns:mc="http://schemas.openxmlformats.org/markup-compatibility/2006">
    <mc:Choice Requires="x14">
      <controls>
        <mc:AlternateContent xmlns:mc="http://schemas.openxmlformats.org/markup-compatibility/2006">
          <mc:Choice Requires="x14">
            <control shapeId="1028" r:id="rId71" name="Check Box 4">
              <controlPr defaultSize="0" autoFill="0" autoLine="0" autoPict="0">
                <anchor moveWithCells="1">
                  <from>
                    <xdr:col>6</xdr:col>
                    <xdr:colOff>139700</xdr:colOff>
                    <xdr:row>25</xdr:row>
                    <xdr:rowOff>88900</xdr:rowOff>
                  </from>
                  <to>
                    <xdr:col>6</xdr:col>
                    <xdr:colOff>762000</xdr:colOff>
                    <xdr:row>25</xdr:row>
                    <xdr:rowOff>825500</xdr:rowOff>
                  </to>
                </anchor>
              </controlPr>
            </control>
          </mc:Choice>
        </mc:AlternateContent>
        <mc:AlternateContent xmlns:mc="http://schemas.openxmlformats.org/markup-compatibility/2006">
          <mc:Choice Requires="x14">
            <control shapeId="1029" r:id="rId72" name="Check Box 5">
              <controlPr defaultSize="0" autoFill="0" autoLine="0" autoPict="0">
                <anchor moveWithCells="1">
                  <from>
                    <xdr:col>7</xdr:col>
                    <xdr:colOff>139700</xdr:colOff>
                    <xdr:row>25</xdr:row>
                    <xdr:rowOff>88900</xdr:rowOff>
                  </from>
                  <to>
                    <xdr:col>7</xdr:col>
                    <xdr:colOff>762000</xdr:colOff>
                    <xdr:row>25</xdr:row>
                    <xdr:rowOff>825500</xdr:rowOff>
                  </to>
                </anchor>
              </controlPr>
            </control>
          </mc:Choice>
        </mc:AlternateContent>
        <mc:AlternateContent xmlns:mc="http://schemas.openxmlformats.org/markup-compatibility/2006">
          <mc:Choice Requires="x14">
            <control shapeId="1030" r:id="rId73" name="Check Box 6">
              <controlPr defaultSize="0" autoFill="0" autoLine="0" autoPict="0">
                <anchor moveWithCells="1">
                  <from>
                    <xdr:col>8</xdr:col>
                    <xdr:colOff>139700</xdr:colOff>
                    <xdr:row>25</xdr:row>
                    <xdr:rowOff>88900</xdr:rowOff>
                  </from>
                  <to>
                    <xdr:col>8</xdr:col>
                    <xdr:colOff>762000</xdr:colOff>
                    <xdr:row>25</xdr:row>
                    <xdr:rowOff>825500</xdr:rowOff>
                  </to>
                </anchor>
              </controlPr>
            </control>
          </mc:Choice>
        </mc:AlternateContent>
        <mc:AlternateContent xmlns:mc="http://schemas.openxmlformats.org/markup-compatibility/2006">
          <mc:Choice Requires="x14">
            <control shapeId="1031" r:id="rId74" name="Check Box 7">
              <controlPr defaultSize="0" autoFill="0" autoLine="0" autoPict="0">
                <anchor moveWithCells="1">
                  <from>
                    <xdr:col>9</xdr:col>
                    <xdr:colOff>139700</xdr:colOff>
                    <xdr:row>25</xdr:row>
                    <xdr:rowOff>88900</xdr:rowOff>
                  </from>
                  <to>
                    <xdr:col>9</xdr:col>
                    <xdr:colOff>762000</xdr:colOff>
                    <xdr:row>25</xdr:row>
                    <xdr:rowOff>825500</xdr:rowOff>
                  </to>
                </anchor>
              </controlPr>
            </control>
          </mc:Choice>
        </mc:AlternateContent>
        <mc:AlternateContent xmlns:mc="http://schemas.openxmlformats.org/markup-compatibility/2006">
          <mc:Choice Requires="x14">
            <control shapeId="1032" r:id="rId75" name="Check Box 8">
              <controlPr defaultSize="0" autoFill="0" autoLine="0" autoPict="0">
                <anchor moveWithCells="1">
                  <from>
                    <xdr:col>10</xdr:col>
                    <xdr:colOff>139700</xdr:colOff>
                    <xdr:row>25</xdr:row>
                    <xdr:rowOff>88900</xdr:rowOff>
                  </from>
                  <to>
                    <xdr:col>10</xdr:col>
                    <xdr:colOff>762000</xdr:colOff>
                    <xdr:row>25</xdr:row>
                    <xdr:rowOff>825500</xdr:rowOff>
                  </to>
                </anchor>
              </controlPr>
            </control>
          </mc:Choice>
        </mc:AlternateContent>
        <mc:AlternateContent xmlns:mc="http://schemas.openxmlformats.org/markup-compatibility/2006">
          <mc:Choice Requires="x14">
            <control shapeId="1033" r:id="rId76" name="Check Box 9">
              <controlPr defaultSize="0" autoFill="0" autoLine="0" autoPict="0">
                <anchor moveWithCells="1">
                  <from>
                    <xdr:col>11</xdr:col>
                    <xdr:colOff>139700</xdr:colOff>
                    <xdr:row>25</xdr:row>
                    <xdr:rowOff>88900</xdr:rowOff>
                  </from>
                  <to>
                    <xdr:col>11</xdr:col>
                    <xdr:colOff>762000</xdr:colOff>
                    <xdr:row>25</xdr:row>
                    <xdr:rowOff>825500</xdr:rowOff>
                  </to>
                </anchor>
              </controlPr>
            </control>
          </mc:Choice>
        </mc:AlternateContent>
        <mc:AlternateContent xmlns:mc="http://schemas.openxmlformats.org/markup-compatibility/2006">
          <mc:Choice Requires="x14">
            <control shapeId="1034" r:id="rId77" name="Check Box 10">
              <controlPr defaultSize="0" autoFill="0" autoLine="0" autoPict="0">
                <anchor moveWithCells="1">
                  <from>
                    <xdr:col>12</xdr:col>
                    <xdr:colOff>139700</xdr:colOff>
                    <xdr:row>25</xdr:row>
                    <xdr:rowOff>88900</xdr:rowOff>
                  </from>
                  <to>
                    <xdr:col>12</xdr:col>
                    <xdr:colOff>762000</xdr:colOff>
                    <xdr:row>25</xdr:row>
                    <xdr:rowOff>825500</xdr:rowOff>
                  </to>
                </anchor>
              </controlPr>
            </control>
          </mc:Choice>
        </mc:AlternateContent>
        <mc:AlternateContent xmlns:mc="http://schemas.openxmlformats.org/markup-compatibility/2006">
          <mc:Choice Requires="x14">
            <control shapeId="1035" r:id="rId78" name="Check Box 11">
              <controlPr defaultSize="0" autoFill="0" autoLine="0" autoPict="0">
                <anchor moveWithCells="1">
                  <from>
                    <xdr:col>13</xdr:col>
                    <xdr:colOff>139700</xdr:colOff>
                    <xdr:row>25</xdr:row>
                    <xdr:rowOff>88900</xdr:rowOff>
                  </from>
                  <to>
                    <xdr:col>13</xdr:col>
                    <xdr:colOff>762000</xdr:colOff>
                    <xdr:row>25</xdr:row>
                    <xdr:rowOff>825500</xdr:rowOff>
                  </to>
                </anchor>
              </controlPr>
            </control>
          </mc:Choice>
        </mc:AlternateContent>
        <mc:AlternateContent xmlns:mc="http://schemas.openxmlformats.org/markup-compatibility/2006">
          <mc:Choice Requires="x14">
            <control shapeId="1036" r:id="rId79" name="Check Box 12">
              <controlPr defaultSize="0" autoFill="0" autoLine="0" autoPict="0">
                <anchor moveWithCells="1">
                  <from>
                    <xdr:col>14</xdr:col>
                    <xdr:colOff>139700</xdr:colOff>
                    <xdr:row>25</xdr:row>
                    <xdr:rowOff>88900</xdr:rowOff>
                  </from>
                  <to>
                    <xdr:col>14</xdr:col>
                    <xdr:colOff>762000</xdr:colOff>
                    <xdr:row>25</xdr:row>
                    <xdr:rowOff>825500</xdr:rowOff>
                  </to>
                </anchor>
              </controlPr>
            </control>
          </mc:Choice>
        </mc:AlternateContent>
        <mc:AlternateContent xmlns:mc="http://schemas.openxmlformats.org/markup-compatibility/2006">
          <mc:Choice Requires="x14">
            <control shapeId="1037" r:id="rId80" name="Check Box 13">
              <controlPr defaultSize="0" autoFill="0" autoLine="0" autoPict="0">
                <anchor moveWithCells="1">
                  <from>
                    <xdr:col>15</xdr:col>
                    <xdr:colOff>139700</xdr:colOff>
                    <xdr:row>25</xdr:row>
                    <xdr:rowOff>88900</xdr:rowOff>
                  </from>
                  <to>
                    <xdr:col>15</xdr:col>
                    <xdr:colOff>762000</xdr:colOff>
                    <xdr:row>25</xdr:row>
                    <xdr:rowOff>825500</xdr:rowOff>
                  </to>
                </anchor>
              </controlPr>
            </control>
          </mc:Choice>
        </mc:AlternateContent>
        <mc:AlternateContent xmlns:mc="http://schemas.openxmlformats.org/markup-compatibility/2006">
          <mc:Choice Requires="x14">
            <control shapeId="1038" r:id="rId81" name="Check Box 14">
              <controlPr defaultSize="0" autoFill="0" autoLine="0" autoPict="0">
                <anchor moveWithCells="1">
                  <from>
                    <xdr:col>16</xdr:col>
                    <xdr:colOff>139700</xdr:colOff>
                    <xdr:row>25</xdr:row>
                    <xdr:rowOff>88900</xdr:rowOff>
                  </from>
                  <to>
                    <xdr:col>16</xdr:col>
                    <xdr:colOff>762000</xdr:colOff>
                    <xdr:row>25</xdr:row>
                    <xdr:rowOff>825500</xdr:rowOff>
                  </to>
                </anchor>
              </controlPr>
            </control>
          </mc:Choice>
        </mc:AlternateContent>
        <mc:AlternateContent xmlns:mc="http://schemas.openxmlformats.org/markup-compatibility/2006">
          <mc:Choice Requires="x14">
            <control shapeId="1039" r:id="rId82" name="Check Box 15">
              <controlPr defaultSize="0" autoFill="0" autoLine="0" autoPict="0">
                <anchor moveWithCells="1">
                  <from>
                    <xdr:col>17</xdr:col>
                    <xdr:colOff>139700</xdr:colOff>
                    <xdr:row>25</xdr:row>
                    <xdr:rowOff>88900</xdr:rowOff>
                  </from>
                  <to>
                    <xdr:col>17</xdr:col>
                    <xdr:colOff>762000</xdr:colOff>
                    <xdr:row>25</xdr:row>
                    <xdr:rowOff>825500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719" operator="equal" id="{983D1850-5CC3-414D-A4AC-A61D8424F084}">
            <xm:f>Calculations!$E$84</xm:f>
            <x14:dxf>
              <font>
                <color theme="1"/>
              </font>
              <fill>
                <patternFill patternType="solid">
                  <fgColor indexed="64"/>
                  <bgColor theme="5" tint="0.39997558519241921"/>
                </patternFill>
              </fill>
            </x14:dxf>
          </x14:cfRule>
          <x14:cfRule type="cellIs" priority="720" operator="equal" id="{900015F0-13C5-D94C-B051-5E987A84107A}">
            <xm:f>Calculations!$E$82</xm:f>
            <x14:dxf>
              <font>
                <color theme="1"/>
              </font>
              <fill>
                <patternFill patternType="solid">
                  <fgColor indexed="64"/>
                  <bgColor theme="3" tint="0.79998168889431442"/>
                </patternFill>
              </fill>
            </x14:dxf>
          </x14:cfRule>
          <xm:sqref>G28:R28 G90:R90</xm:sqref>
        </x14:conditionalFormatting>
        <x14:conditionalFormatting xmlns:xm="http://schemas.microsoft.com/office/excel/2006/main">
          <x14:cfRule type="cellIs" priority="714" operator="equal" id="{3FFCF7FF-F81B-6644-954A-BC18249C55EB}">
            <xm:f>Calculations!$E$85</xm:f>
            <x14:dxf>
              <font>
                <color theme="1"/>
              </font>
              <fill>
                <patternFill patternType="solid">
                  <fgColor indexed="64"/>
                  <bgColor theme="5" tint="0.39997558519241921"/>
                </patternFill>
              </fill>
            </x14:dxf>
          </x14:cfRule>
          <xm:sqref>G90:R90 G28:R28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Calculations!$H$22:$H$27</xm:f>
          </x14:formula1>
          <xm:sqref>AD92</xm:sqref>
        </x14:dataValidation>
        <x14:dataValidation type="list" allowBlank="1" showInputMessage="1" showErrorMessage="1" xr:uid="{00000000-0002-0000-0000-000003000000}">
          <x14:formula1>
            <xm:f>Calculations!$I$22:$I$27</xm:f>
          </x14:formula1>
          <xm:sqref>AD93</xm:sqref>
        </x14:dataValidation>
        <x14:dataValidation type="list" allowBlank="1" showInputMessage="1" showErrorMessage="1" xr:uid="{00000000-0002-0000-0000-000004000000}">
          <x14:formula1>
            <xm:f>Calculations!$B$64:$B$67</xm:f>
          </x14:formula1>
          <xm:sqref>G24:R24</xm:sqref>
        </x14:dataValidation>
        <x14:dataValidation type="list" allowBlank="1" showInputMessage="1" showErrorMessage="1" xr:uid="{00000000-0002-0000-0000-000005000000}">
          <x14:formula1>
            <xm:f>Calculations!$B$69:$B$72</xm:f>
          </x14:formula1>
          <xm:sqref>G25:R25</xm:sqref>
        </x14:dataValidation>
        <x14:dataValidation type="list" allowBlank="1" showInputMessage="1" showErrorMessage="1" xr:uid="{00000000-0002-0000-0000-000006000000}">
          <x14:formula1>
            <xm:f>Calculations!$E$22:$E$24</xm:f>
          </x14:formula1>
          <xm:sqref>J43:K43</xm:sqref>
        </x14:dataValidation>
        <x14:dataValidation type="list" allowBlank="1" showInputMessage="1" showErrorMessage="1" xr:uid="{00000000-0002-0000-0000-000007000000}">
          <x14:formula1>
            <xm:f>Calculations!$G$22:$G$24</xm:f>
          </x14:formula1>
          <xm:sqref>J44:K44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R298"/>
  <sheetViews>
    <sheetView topLeftCell="X1" workbookViewId="0">
      <selection activeCell="E8" sqref="E8"/>
    </sheetView>
  </sheetViews>
  <sheetFormatPr baseColWidth="10" defaultColWidth="0" defaultRowHeight="16" zeroHeight="1" x14ac:dyDescent="0.2"/>
  <cols>
    <col min="1" max="1" width="24.1640625" style="7" customWidth="1"/>
    <col min="2" max="2" width="18.83203125" style="7" customWidth="1"/>
    <col min="3" max="3" width="21.6640625" style="7" customWidth="1"/>
    <col min="4" max="4" width="24.6640625" style="7" customWidth="1"/>
    <col min="5" max="5" width="25" style="7" customWidth="1"/>
    <col min="6" max="6" width="24" style="7" customWidth="1"/>
    <col min="7" max="7" width="22.6640625" style="7" customWidth="1"/>
    <col min="8" max="8" width="29.33203125" style="7" customWidth="1"/>
    <col min="9" max="9" width="17" style="7" customWidth="1"/>
    <col min="10" max="10" width="22.83203125" style="7" customWidth="1"/>
    <col min="11" max="11" width="18.83203125" style="7" customWidth="1"/>
    <col min="12" max="12" width="19.83203125" style="7" customWidth="1"/>
    <col min="13" max="17" width="15.5" style="7" customWidth="1"/>
    <col min="18" max="18" width="14.83203125" style="7" customWidth="1"/>
    <col min="19" max="19" width="17.6640625" style="7" customWidth="1"/>
    <col min="20" max="20" width="25.33203125" style="7" customWidth="1"/>
    <col min="21" max="21" width="24.1640625" style="7" customWidth="1"/>
    <col min="22" max="22" width="18.6640625" style="7" customWidth="1"/>
    <col min="23" max="23" width="22" style="7" customWidth="1"/>
    <col min="24" max="25" width="14" style="7" customWidth="1"/>
    <col min="26" max="26" width="23.5" style="7" customWidth="1"/>
    <col min="27" max="27" width="14.33203125" style="7" customWidth="1"/>
    <col min="28" max="29" width="4.83203125" style="7" customWidth="1"/>
    <col min="30" max="30" width="26.1640625" style="7" customWidth="1"/>
    <col min="31" max="31" width="20.6640625" style="7" customWidth="1"/>
    <col min="32" max="33" width="4.83203125" style="7" customWidth="1"/>
    <col min="34" max="35" width="21.1640625" style="7" customWidth="1"/>
    <col min="36" max="37" width="4.83203125" style="7" customWidth="1"/>
    <col min="38" max="39" width="21.1640625" style="7" customWidth="1"/>
    <col min="40" max="41" width="4.83203125" style="7" customWidth="1"/>
    <col min="42" max="43" width="21.1640625" style="7" customWidth="1"/>
    <col min="44" max="45" width="4.83203125" style="7" customWidth="1"/>
    <col min="46" max="47" width="21.1640625" style="7" customWidth="1"/>
    <col min="48" max="49" width="4.83203125" style="7" customWidth="1"/>
    <col min="50" max="50" width="21.1640625" style="7" customWidth="1"/>
    <col min="51" max="51" width="20.6640625" style="7" customWidth="1"/>
    <col min="52" max="53" width="4.83203125" style="7" customWidth="1"/>
    <col min="54" max="55" width="22.5" style="7" customWidth="1"/>
    <col min="56" max="57" width="4.83203125" style="7" customWidth="1"/>
    <col min="58" max="59" width="22.5" style="7" customWidth="1"/>
    <col min="60" max="61" width="4.83203125" style="7" customWidth="1"/>
    <col min="62" max="62" width="21" style="7" customWidth="1"/>
    <col min="63" max="63" width="10.83203125" style="7" customWidth="1"/>
    <col min="64" max="65" width="4.83203125" style="7" customWidth="1"/>
    <col min="66" max="66" width="15.5" style="7" customWidth="1"/>
    <col min="67" max="67" width="10.83203125" style="7" customWidth="1"/>
    <col min="68" max="69" width="4.83203125" style="7" customWidth="1"/>
    <col min="70" max="70" width="13" style="7" customWidth="1"/>
    <col min="71" max="73" width="10.83203125" style="7" customWidth="1"/>
    <col min="74" max="74" width="19.6640625" style="7" customWidth="1"/>
    <col min="75" max="76" width="31.5" style="7" customWidth="1"/>
    <col min="77" max="77" width="35.6640625" style="7" customWidth="1"/>
    <col min="78" max="78" width="14.33203125" style="7" customWidth="1"/>
    <col min="79" max="96" width="0" style="7" hidden="1" customWidth="1"/>
    <col min="97" max="16384" width="10.83203125" style="7" hidden="1"/>
  </cols>
  <sheetData>
    <row r="1" spans="1:52" x14ac:dyDescent="0.2">
      <c r="A1" s="6"/>
      <c r="B1" s="6"/>
      <c r="C1" s="6"/>
      <c r="D1" s="6"/>
      <c r="E1" s="6"/>
      <c r="F1" s="6"/>
      <c r="G1" s="6"/>
      <c r="H1" s="6"/>
      <c r="I1" s="6"/>
      <c r="J1" s="6"/>
      <c r="K1" s="6"/>
      <c r="L1" s="6"/>
      <c r="M1" s="6"/>
      <c r="N1" s="6"/>
      <c r="O1" s="6"/>
      <c r="P1" s="6"/>
      <c r="Q1" s="6"/>
      <c r="R1" s="6"/>
      <c r="S1" s="6"/>
      <c r="T1" s="6"/>
      <c r="U1" s="6"/>
    </row>
    <row r="2" spans="1:52" x14ac:dyDescent="0.2">
      <c r="A2" s="6"/>
      <c r="B2" s="6"/>
      <c r="C2" s="6"/>
      <c r="D2" s="6"/>
      <c r="E2" s="6"/>
      <c r="F2" s="6"/>
      <c r="G2" s="6"/>
      <c r="H2" s="6"/>
      <c r="I2" s="6"/>
      <c r="J2" s="6"/>
      <c r="K2" s="6"/>
      <c r="L2" s="6"/>
      <c r="M2" s="6"/>
      <c r="N2" s="6"/>
      <c r="O2" s="6"/>
      <c r="P2" s="6"/>
      <c r="Q2" s="6"/>
      <c r="R2" s="6"/>
      <c r="S2" s="6"/>
      <c r="T2" s="6"/>
      <c r="U2" s="6"/>
    </row>
    <row r="3" spans="1:52" x14ac:dyDescent="0.2">
      <c r="A3" s="6"/>
      <c r="B3" s="17" t="s">
        <v>65</v>
      </c>
      <c r="C3" s="17" t="s">
        <v>66</v>
      </c>
      <c r="D3" s="17" t="s">
        <v>67</v>
      </c>
      <c r="E3" s="17" t="s">
        <v>68</v>
      </c>
      <c r="F3" s="17" t="s">
        <v>70</v>
      </c>
      <c r="G3" s="17" t="s">
        <v>71</v>
      </c>
      <c r="H3" s="17" t="s">
        <v>222</v>
      </c>
      <c r="I3" s="17" t="s">
        <v>223</v>
      </c>
      <c r="J3" s="17" t="s">
        <v>69</v>
      </c>
      <c r="K3" s="17"/>
      <c r="L3" s="17"/>
      <c r="M3" s="17"/>
      <c r="N3" s="18"/>
      <c r="O3" s="6"/>
      <c r="P3" s="6"/>
      <c r="Q3" s="6"/>
      <c r="R3" s="6"/>
      <c r="S3" s="6"/>
      <c r="T3" s="6"/>
      <c r="U3" s="6"/>
      <c r="W3" s="19"/>
    </row>
    <row r="4" spans="1:52" ht="32" x14ac:dyDescent="0.2">
      <c r="A4" s="6"/>
      <c r="B4" s="20" t="s">
        <v>59</v>
      </c>
      <c r="C4" s="20" t="s">
        <v>60</v>
      </c>
      <c r="D4" s="20" t="s">
        <v>58</v>
      </c>
      <c r="E4" s="20" t="s">
        <v>84</v>
      </c>
      <c r="F4" s="20" t="s">
        <v>90</v>
      </c>
      <c r="G4" s="20" t="s">
        <v>62</v>
      </c>
      <c r="H4" s="20" t="s">
        <v>63</v>
      </c>
      <c r="I4" s="20" t="s">
        <v>64</v>
      </c>
      <c r="J4" s="20" t="s">
        <v>91</v>
      </c>
      <c r="K4" s="20"/>
      <c r="L4" s="20"/>
      <c r="M4" s="20"/>
      <c r="N4" s="18"/>
      <c r="O4" s="6"/>
      <c r="P4" s="6"/>
      <c r="Q4" s="6"/>
      <c r="R4" s="6"/>
      <c r="S4" s="6"/>
      <c r="T4" s="6"/>
      <c r="U4" s="6"/>
      <c r="W4" s="19"/>
    </row>
    <row r="5" spans="1:52" ht="32" x14ac:dyDescent="0.2">
      <c r="A5" s="6" t="s">
        <v>0</v>
      </c>
      <c r="B5" s="6" t="str">
        <f>""&amp;B3&amp;" options"</f>
        <v>Question 1: options</v>
      </c>
      <c r="C5" s="6" t="str">
        <f>""&amp;C3&amp;" options"</f>
        <v>Question 2: options</v>
      </c>
      <c r="D5" s="6" t="str">
        <f>""&amp;D3&amp;" options"</f>
        <v>Question 3: options</v>
      </c>
      <c r="E5" s="6" t="str">
        <f>""&amp;E3&amp;" options"</f>
        <v>Question 4: options</v>
      </c>
      <c r="F5" s="6" t="str">
        <f>""&amp;F3&amp;" options"</f>
        <v>Question 7: options</v>
      </c>
      <c r="G5" s="6" t="str">
        <f t="shared" ref="G5:M5" si="0">""&amp;G3&amp;" options"</f>
        <v>Question 5: options</v>
      </c>
      <c r="H5" s="6" t="str">
        <f t="shared" si="0"/>
        <v>Question 8?: options</v>
      </c>
      <c r="I5" s="6" t="str">
        <f t="shared" si="0"/>
        <v>Question 9?: options</v>
      </c>
      <c r="J5" s="6" t="str">
        <f>""&amp;J3&amp;" options"</f>
        <v>Question 6: options</v>
      </c>
      <c r="K5" s="6" t="str">
        <f>""&amp;K3&amp;" options"</f>
        <v xml:space="preserve"> options</v>
      </c>
      <c r="L5" s="6" t="str">
        <f t="shared" si="0"/>
        <v xml:space="preserve"> options</v>
      </c>
      <c r="M5" s="6" t="str">
        <f t="shared" si="0"/>
        <v xml:space="preserve"> options</v>
      </c>
      <c r="N5" s="18"/>
      <c r="O5" s="6"/>
      <c r="P5" s="6"/>
      <c r="Q5" s="6"/>
      <c r="R5" s="6"/>
      <c r="S5" s="6"/>
      <c r="T5" s="6"/>
      <c r="U5" s="6"/>
      <c r="W5" s="19"/>
    </row>
    <row r="6" spans="1:52" x14ac:dyDescent="0.2">
      <c r="A6" s="6" t="s">
        <v>1</v>
      </c>
      <c r="B6" s="21" t="str">
        <f>""</f>
        <v/>
      </c>
      <c r="C6" s="21" t="str">
        <f>""</f>
        <v/>
      </c>
      <c r="D6" s="21" t="str">
        <f>""</f>
        <v/>
      </c>
      <c r="E6" s="21" t="str">
        <f>""</f>
        <v/>
      </c>
      <c r="F6" s="21" t="str">
        <f>""</f>
        <v/>
      </c>
      <c r="G6" s="21" t="str">
        <f>""</f>
        <v/>
      </c>
      <c r="H6" s="21" t="str">
        <f>""</f>
        <v/>
      </c>
      <c r="I6" s="21" t="str">
        <f>""</f>
        <v/>
      </c>
      <c r="J6" s="21" t="str">
        <f>""</f>
        <v/>
      </c>
      <c r="K6" s="21" t="str">
        <f>""</f>
        <v/>
      </c>
      <c r="L6" s="21" t="str">
        <f>""</f>
        <v/>
      </c>
      <c r="M6" s="21" t="str">
        <f>""</f>
        <v/>
      </c>
      <c r="N6" s="18"/>
      <c r="O6" s="6"/>
      <c r="P6" s="6"/>
      <c r="Q6" s="6"/>
      <c r="R6" s="6"/>
      <c r="S6" s="6"/>
      <c r="T6" s="6"/>
      <c r="U6" s="6"/>
      <c r="W6" s="19"/>
    </row>
    <row r="7" spans="1:52" ht="256" x14ac:dyDescent="0.2">
      <c r="A7" s="6">
        <v>2</v>
      </c>
      <c r="B7" s="1" t="s">
        <v>2</v>
      </c>
      <c r="C7" s="1" t="s">
        <v>3</v>
      </c>
      <c r="D7" s="1" t="s">
        <v>172</v>
      </c>
      <c r="E7" s="21" t="s">
        <v>521</v>
      </c>
      <c r="F7" s="21" t="s">
        <v>72</v>
      </c>
      <c r="G7" s="21" t="s">
        <v>182</v>
      </c>
      <c r="H7" s="1" t="s">
        <v>188</v>
      </c>
      <c r="I7" s="21" t="s">
        <v>184</v>
      </c>
      <c r="J7" s="21" t="s">
        <v>256</v>
      </c>
      <c r="K7" s="1"/>
      <c r="L7" s="21"/>
      <c r="M7" s="21"/>
      <c r="N7" s="6"/>
      <c r="O7" s="6"/>
      <c r="P7" s="6"/>
      <c r="Q7" s="6"/>
      <c r="R7" s="6"/>
      <c r="S7" s="6"/>
      <c r="T7" s="6"/>
      <c r="U7" s="6"/>
      <c r="W7" s="19"/>
    </row>
    <row r="8" spans="1:52" ht="80" x14ac:dyDescent="0.2">
      <c r="A8" s="6">
        <v>3</v>
      </c>
      <c r="B8" s="21"/>
      <c r="C8" s="21"/>
      <c r="D8" s="1"/>
      <c r="E8" s="21"/>
      <c r="F8" s="21"/>
      <c r="G8" s="21"/>
      <c r="H8" s="1" t="s">
        <v>173</v>
      </c>
      <c r="I8" s="21" t="s">
        <v>183</v>
      </c>
      <c r="J8" s="21" t="s">
        <v>275</v>
      </c>
      <c r="K8" s="21"/>
      <c r="L8" s="21"/>
      <c r="M8" s="21"/>
      <c r="N8" s="18"/>
      <c r="O8" s="6"/>
      <c r="P8" s="6"/>
      <c r="Q8" s="6"/>
      <c r="R8" s="6"/>
      <c r="S8" s="6"/>
      <c r="T8" s="6"/>
      <c r="U8" s="6"/>
      <c r="W8" s="19"/>
    </row>
    <row r="9" spans="1:52" x14ac:dyDescent="0.2">
      <c r="A9" s="6">
        <v>4</v>
      </c>
      <c r="B9" s="21"/>
      <c r="C9" s="21"/>
      <c r="D9" s="21"/>
      <c r="E9" s="21"/>
      <c r="F9" s="21"/>
      <c r="G9" s="21"/>
      <c r="H9" s="21"/>
      <c r="I9" s="2"/>
      <c r="J9" s="21"/>
      <c r="K9" s="21"/>
      <c r="L9" s="21"/>
      <c r="M9" s="21"/>
      <c r="N9" s="18"/>
      <c r="W9" s="19"/>
    </row>
    <row r="10" spans="1:52" x14ac:dyDescent="0.2">
      <c r="A10" s="6">
        <v>5</v>
      </c>
      <c r="B10" s="21"/>
      <c r="C10" s="21"/>
      <c r="D10" s="21"/>
      <c r="E10" s="21"/>
      <c r="F10" s="21"/>
      <c r="G10" s="21"/>
      <c r="H10" s="21"/>
      <c r="I10" s="2"/>
      <c r="J10" s="21"/>
      <c r="K10" s="21"/>
      <c r="L10" s="21"/>
      <c r="M10" s="21"/>
      <c r="N10" s="18"/>
      <c r="W10" s="19"/>
    </row>
    <row r="11" spans="1:52" x14ac:dyDescent="0.2">
      <c r="A11" s="6">
        <v>6</v>
      </c>
      <c r="B11" s="21"/>
      <c r="C11" s="21"/>
      <c r="D11" s="21"/>
      <c r="E11" s="21"/>
      <c r="F11" s="21"/>
      <c r="G11" s="21"/>
      <c r="H11" s="21"/>
      <c r="I11" s="2"/>
      <c r="J11" s="21"/>
      <c r="K11" s="21"/>
      <c r="L11" s="21"/>
      <c r="M11" s="21"/>
      <c r="N11" s="6"/>
      <c r="W11" s="19"/>
    </row>
    <row r="12" spans="1:52" s="23" customFormat="1" x14ac:dyDescent="0.2">
      <c r="A12" s="22"/>
      <c r="B12" s="18"/>
      <c r="C12" s="18"/>
      <c r="D12" s="18"/>
      <c r="E12" s="18"/>
      <c r="F12" s="18"/>
      <c r="G12" s="18"/>
      <c r="H12" s="18"/>
      <c r="I12" s="5"/>
      <c r="J12" s="18"/>
      <c r="K12" s="18"/>
      <c r="L12" s="18"/>
      <c r="M12" s="18"/>
      <c r="N12" s="6"/>
      <c r="V12" s="7"/>
      <c r="W12" s="19"/>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row>
    <row r="13" spans="1:52" s="23" customFormat="1" ht="32" x14ac:dyDescent="0.2">
      <c r="A13" s="22"/>
      <c r="B13" s="24" t="str">
        <f>""&amp;B3&amp;"                                           "&amp;B4&amp;""</f>
        <v>Question 1:                                           Humidity</v>
      </c>
      <c r="C13" s="24" t="str">
        <f>""&amp;C3&amp;"                                           "&amp;C4&amp;""</f>
        <v>Question 2:                                           Temperature</v>
      </c>
      <c r="D13" s="24" t="str">
        <f>""&amp;D3&amp;"                                           "&amp;D4&amp;""</f>
        <v>Question 3:                                           Water access</v>
      </c>
      <c r="E13" s="24" t="str">
        <f>IF(E50=0, "",IF(E14=E6,"",""&amp;E3&amp;"                                           "&amp;E4&amp;""))</f>
        <v/>
      </c>
      <c r="F13" s="24" t="str">
        <f>IF(F14=F6,"",""&amp;F3&amp;"                                           "&amp;F4&amp;"")</f>
        <v/>
      </c>
      <c r="G13" s="24" t="str">
        <f>IF(G14=G6,"",""&amp;G3&amp;"                                           "&amp;G4&amp;"")</f>
        <v/>
      </c>
      <c r="H13" s="24" t="str">
        <f t="shared" ref="H13:M13" si="1">IF(H14=H6,"",""&amp;H3&amp;"                                           "&amp;H4&amp;"")</f>
        <v/>
      </c>
      <c r="I13" s="24" t="str">
        <f>IF(I14=I6,"",""&amp;I3&amp;"                                           "&amp;I4&amp;"")</f>
        <v/>
      </c>
      <c r="J13" s="24" t="str">
        <f>IF(J14=J6,"",""&amp;J3&amp;"                                           "&amp;J14&amp;"")</f>
        <v/>
      </c>
      <c r="K13" s="24" t="str">
        <f t="shared" ref="K13" si="2">IF(K14=K6,"",""&amp;K3&amp;"                                           "&amp;K4&amp;"")</f>
        <v/>
      </c>
      <c r="L13" s="24" t="str">
        <f t="shared" si="1"/>
        <v/>
      </c>
      <c r="M13" s="24" t="str">
        <f t="shared" si="1"/>
        <v/>
      </c>
      <c r="N13" s="18"/>
      <c r="V13" s="7"/>
      <c r="W13" s="19"/>
      <c r="X13" s="15"/>
      <c r="Y13" s="15"/>
      <c r="Z13" s="15"/>
      <c r="AA13" s="15"/>
      <c r="AB13" s="15"/>
      <c r="AC13" s="7"/>
      <c r="AD13" s="7"/>
      <c r="AE13" s="7"/>
      <c r="AY13" s="7"/>
      <c r="AZ13" s="7"/>
    </row>
    <row r="14" spans="1:52" s="23" customFormat="1" ht="80" x14ac:dyDescent="0.2">
      <c r="A14" s="25" t="s">
        <v>32</v>
      </c>
      <c r="B14" s="26" t="str">
        <f>B7</f>
        <v>What is the typical relative humidity during the day in each month?</v>
      </c>
      <c r="C14" s="26" t="str">
        <f>C7</f>
        <v>What is the typical maximum temperature during the day in each month?</v>
      </c>
      <c r="D14" s="26" t="str">
        <f>D7</f>
        <v>For each month, select "Yes" if there is access to water that can be used for vegetable cooling and storage on a daily basis</v>
      </c>
      <c r="E14" s="26" t="str">
        <f>IF(E50=0, "",E7)</f>
        <v/>
      </c>
      <c r="F14" s="26" t="str">
        <f>IF($E51=0,F6,IF(B51=0,F6,F7))</f>
        <v/>
      </c>
      <c r="G14" s="26" t="str">
        <f>IF(E51=0, G6, G7)</f>
        <v/>
      </c>
      <c r="H14" s="26" t="str">
        <f>IF(E51=0,H6,IF($G29=G22,H7,IF($G29=G23,H8,H6)))</f>
        <v/>
      </c>
      <c r="I14" s="4" t="str">
        <f>IF($E51=0,I6,IF(H29=H22,IF($G29=G22,I7,IF($G29=G23,I8,I6)), IF(H29=H23,IF($G29=G22,I7,IF($G29=G23,I8,I6)), I6)))</f>
        <v/>
      </c>
      <c r="J14" s="4" t="str">
        <f>IF($E51=0,J6,                                                                                                                                                                                        IF(H29=H24,"",                                                                                                IF(H29=H25,"",                                                                                                                                                                                                            IF($G29=G22,J7,IF($G29=G23,J8,J6))                                                                                                                                                                                                           )))</f>
        <v/>
      </c>
      <c r="K14" s="26"/>
      <c r="L14" s="26"/>
      <c r="M14" s="26"/>
      <c r="N14" s="18"/>
      <c r="V14" s="7"/>
      <c r="W14" s="19"/>
      <c r="X14" s="15"/>
      <c r="Y14" s="15"/>
      <c r="Z14" s="15"/>
      <c r="AA14" s="15"/>
      <c r="AB14" s="15"/>
      <c r="AC14" s="7"/>
      <c r="AD14" s="7"/>
      <c r="AE14" s="7"/>
      <c r="AY14" s="7"/>
      <c r="AZ14" s="7"/>
    </row>
    <row r="15" spans="1:52" s="23" customFormat="1" x14ac:dyDescent="0.2">
      <c r="A15" s="22"/>
      <c r="B15" s="18"/>
      <c r="C15" s="18"/>
      <c r="D15" s="18"/>
      <c r="E15" s="18"/>
      <c r="F15" s="18"/>
      <c r="G15" s="18"/>
      <c r="H15" s="18"/>
      <c r="I15" s="5"/>
      <c r="J15" s="18"/>
      <c r="K15" s="18"/>
      <c r="L15" s="18"/>
      <c r="M15" s="18"/>
      <c r="N15" s="18"/>
      <c r="V15" s="7"/>
      <c r="W15" s="19"/>
      <c r="X15" s="27"/>
      <c r="Y15" s="27"/>
      <c r="Z15" s="27"/>
      <c r="AA15" s="27"/>
      <c r="AB15" s="27"/>
      <c r="AC15" s="7"/>
      <c r="AD15" s="7"/>
      <c r="AE15" s="7"/>
      <c r="AY15" s="7"/>
      <c r="AZ15" s="7"/>
    </row>
    <row r="16" spans="1:52" s="23" customFormat="1" x14ac:dyDescent="0.2">
      <c r="A16" s="22"/>
      <c r="B16" s="18"/>
      <c r="C16" s="18"/>
      <c r="D16" s="18"/>
      <c r="E16" s="18"/>
      <c r="F16" s="18"/>
      <c r="G16" s="18"/>
      <c r="H16" s="18"/>
      <c r="I16" s="5"/>
      <c r="J16" s="18"/>
      <c r="K16" s="18"/>
      <c r="L16" s="18"/>
      <c r="M16" s="18"/>
      <c r="N16" s="6"/>
      <c r="V16" s="7"/>
      <c r="W16" s="19"/>
      <c r="X16" s="27"/>
      <c r="Y16" s="27"/>
      <c r="Z16" s="27"/>
      <c r="AA16" s="27"/>
      <c r="AB16" s="27"/>
      <c r="AC16" s="7"/>
      <c r="AD16" s="7"/>
      <c r="AE16" s="7"/>
      <c r="AY16" s="7"/>
      <c r="AZ16" s="7"/>
    </row>
    <row r="17" spans="1:52" s="23" customFormat="1" x14ac:dyDescent="0.2">
      <c r="A17" s="22"/>
      <c r="B17" s="18"/>
      <c r="C17" s="18"/>
      <c r="D17" s="18"/>
      <c r="E17" s="18"/>
      <c r="F17" s="18"/>
      <c r="G17" s="18"/>
      <c r="H17" s="18"/>
      <c r="I17" s="5"/>
      <c r="J17" s="18"/>
      <c r="K17" s="18"/>
      <c r="L17" s="18"/>
      <c r="M17" s="18"/>
      <c r="N17" s="6"/>
      <c r="V17" s="7"/>
      <c r="W17" s="19"/>
      <c r="X17" s="27"/>
      <c r="Y17" s="27"/>
      <c r="Z17" s="27"/>
      <c r="AA17" s="27"/>
      <c r="AB17" s="27"/>
      <c r="AC17" s="7"/>
      <c r="AD17" s="7"/>
      <c r="AE17" s="7"/>
      <c r="AY17" s="7"/>
      <c r="AZ17" s="7"/>
    </row>
    <row r="18" spans="1:52" s="23" customFormat="1" x14ac:dyDescent="0.2">
      <c r="A18" s="22"/>
      <c r="B18" s="18"/>
      <c r="C18" s="18"/>
      <c r="D18" s="18"/>
      <c r="E18" s="18"/>
      <c r="F18" s="18"/>
      <c r="G18" s="18"/>
      <c r="H18" s="18"/>
      <c r="I18" s="5"/>
      <c r="J18" s="18"/>
      <c r="K18" s="18"/>
      <c r="L18" s="18"/>
      <c r="M18" s="18"/>
      <c r="N18" s="6"/>
      <c r="V18" s="7"/>
      <c r="W18" s="19"/>
      <c r="X18" s="27"/>
      <c r="Y18" s="27"/>
      <c r="Z18" s="27"/>
      <c r="AA18" s="27"/>
      <c r="AB18" s="27"/>
      <c r="AC18" s="7"/>
      <c r="AD18" s="7"/>
      <c r="AE18" s="7"/>
      <c r="AY18" s="7"/>
      <c r="AZ18" s="7"/>
    </row>
    <row r="19" spans="1:52" x14ac:dyDescent="0.2">
      <c r="A19" s="6"/>
      <c r="B19" s="25">
        <v>70</v>
      </c>
      <c r="C19" s="25">
        <v>35</v>
      </c>
      <c r="D19" s="6"/>
      <c r="E19" s="6"/>
      <c r="F19" s="6"/>
      <c r="G19" s="6"/>
      <c r="H19" s="6"/>
      <c r="I19" s="6"/>
      <c r="J19" s="6"/>
      <c r="K19" s="6"/>
      <c r="L19" s="6"/>
      <c r="M19" s="6"/>
      <c r="N19" s="6"/>
      <c r="W19" s="19"/>
      <c r="X19" s="27"/>
      <c r="Y19" s="27"/>
      <c r="Z19" s="27"/>
      <c r="AA19" s="27"/>
      <c r="AB19" s="27"/>
    </row>
    <row r="20" spans="1:52" x14ac:dyDescent="0.2">
      <c r="A20" s="6"/>
      <c r="B20" s="25">
        <v>40</v>
      </c>
      <c r="C20" s="25">
        <v>25</v>
      </c>
      <c r="D20" s="6"/>
      <c r="E20" s="6"/>
      <c r="F20" s="6"/>
      <c r="G20" s="6"/>
      <c r="H20" s="6"/>
      <c r="I20" s="6"/>
      <c r="J20" s="6"/>
      <c r="K20" s="6"/>
      <c r="L20" s="6"/>
      <c r="M20" s="6"/>
      <c r="N20" s="6"/>
      <c r="W20" s="19"/>
      <c r="X20" s="27"/>
      <c r="Y20" s="27"/>
      <c r="Z20" s="27"/>
      <c r="AA20" s="27"/>
      <c r="AB20" s="27"/>
    </row>
    <row r="21" spans="1:52" ht="32" x14ac:dyDescent="0.2">
      <c r="A21" s="6" t="s">
        <v>4</v>
      </c>
      <c r="B21" s="6" t="str">
        <f>""&amp;B3&amp;" answers"</f>
        <v>Question 1: answers</v>
      </c>
      <c r="C21" s="6" t="str">
        <f>""&amp;C3&amp;" answers"</f>
        <v>Question 2: answers</v>
      </c>
      <c r="D21" s="6" t="str">
        <f>""&amp;D3&amp;" answers"</f>
        <v>Question 3: answers</v>
      </c>
      <c r="E21" s="6" t="str">
        <f>""&amp;E3&amp;" answers"</f>
        <v>Question 4: answers</v>
      </c>
      <c r="F21" s="6" t="str">
        <f>""&amp;F3&amp;" answers"</f>
        <v>Question 7: answers</v>
      </c>
      <c r="G21" s="6" t="str">
        <f t="shared" ref="G21:M21" si="3">""&amp;G3&amp;" answers"</f>
        <v>Question 5: answers</v>
      </c>
      <c r="H21" s="6" t="str">
        <f t="shared" si="3"/>
        <v>Question 8?: answers</v>
      </c>
      <c r="I21" s="6" t="str">
        <f t="shared" si="3"/>
        <v>Question 9?: answers</v>
      </c>
      <c r="J21" s="6" t="str">
        <f>""&amp;J3&amp;" answers"</f>
        <v>Question 6: answers</v>
      </c>
      <c r="K21" s="6" t="str">
        <f>""&amp;K3&amp;" answers"</f>
        <v xml:space="preserve"> answers</v>
      </c>
      <c r="L21" s="6" t="str">
        <f t="shared" si="3"/>
        <v xml:space="preserve"> answers</v>
      </c>
      <c r="M21" s="6" t="str">
        <f t="shared" si="3"/>
        <v xml:space="preserve"> answers</v>
      </c>
      <c r="N21" s="6"/>
      <c r="W21" s="19"/>
      <c r="X21" s="27"/>
      <c r="Y21" s="27"/>
      <c r="Z21" s="27"/>
      <c r="AA21" s="27"/>
      <c r="AB21" s="27"/>
    </row>
    <row r="22" spans="1:52" ht="48" x14ac:dyDescent="0.2">
      <c r="A22" s="6">
        <v>1</v>
      </c>
      <c r="B22" s="28" t="s">
        <v>29</v>
      </c>
      <c r="C22" s="28" t="s">
        <v>30</v>
      </c>
      <c r="D22" s="28" t="s">
        <v>5</v>
      </c>
      <c r="E22" s="28" t="s">
        <v>5</v>
      </c>
      <c r="F22" s="28"/>
      <c r="G22" s="28" t="s">
        <v>5</v>
      </c>
      <c r="H22" s="28" t="s">
        <v>5</v>
      </c>
      <c r="I22" s="28" t="s">
        <v>5</v>
      </c>
      <c r="J22" s="28"/>
      <c r="K22" s="28">
        <v>1</v>
      </c>
      <c r="L22" s="28"/>
      <c r="M22" s="28"/>
      <c r="N22" s="18"/>
      <c r="W22" s="19"/>
      <c r="X22" s="27"/>
      <c r="Y22" s="27"/>
      <c r="Z22" s="27"/>
      <c r="AA22" s="27"/>
      <c r="AB22" s="27"/>
    </row>
    <row r="23" spans="1:52" ht="32" x14ac:dyDescent="0.2">
      <c r="A23" s="6">
        <v>2</v>
      </c>
      <c r="B23" s="28" t="str">
        <f>"greater than "&amp;B19&amp;"%"</f>
        <v>greater than 70%</v>
      </c>
      <c r="C23" s="28" t="str">
        <f>"greater than "&amp;C19&amp;" degrees Celsius"</f>
        <v>greater than 35 degrees Celsius</v>
      </c>
      <c r="D23" s="28"/>
      <c r="E23" s="28" t="s">
        <v>6</v>
      </c>
      <c r="F23" s="28"/>
      <c r="G23" s="28" t="s">
        <v>6</v>
      </c>
      <c r="H23" s="28" t="s">
        <v>6</v>
      </c>
      <c r="I23" s="28" t="s">
        <v>6</v>
      </c>
      <c r="J23" s="28"/>
      <c r="K23" s="28"/>
      <c r="L23" s="28"/>
      <c r="M23" s="28"/>
      <c r="N23" s="18"/>
      <c r="W23" s="19"/>
      <c r="X23" s="27"/>
      <c r="Y23" s="27"/>
      <c r="Z23" s="27"/>
      <c r="AA23" s="27"/>
      <c r="AB23" s="27"/>
    </row>
    <row r="24" spans="1:52" ht="32" x14ac:dyDescent="0.2">
      <c r="A24" s="6">
        <v>3</v>
      </c>
      <c r="B24" s="28" t="str">
        <f>"between "&amp;B20&amp;"% and "&amp;B19&amp;"%"</f>
        <v>between 40% and 70%</v>
      </c>
      <c r="C24" s="28" t="str">
        <f>"between "&amp;C20&amp;" and "&amp;C19&amp;" degrees Celsius"</f>
        <v>between 25 and 35 degrees Celsius</v>
      </c>
      <c r="D24" s="28"/>
      <c r="E24" s="28" t="s">
        <v>31</v>
      </c>
      <c r="F24" s="28"/>
      <c r="G24" s="28" t="s">
        <v>31</v>
      </c>
      <c r="H24" s="28" t="s">
        <v>31</v>
      </c>
      <c r="I24" s="28" t="s">
        <v>31</v>
      </c>
      <c r="J24" s="28"/>
      <c r="K24" s="28"/>
      <c r="L24" s="28"/>
      <c r="M24" s="28"/>
      <c r="N24" s="18"/>
      <c r="W24" s="19"/>
      <c r="X24" s="27"/>
      <c r="Y24" s="27"/>
      <c r="Z24" s="27"/>
      <c r="AA24" s="27"/>
      <c r="AB24" s="27"/>
    </row>
    <row r="25" spans="1:52" ht="32" x14ac:dyDescent="0.2">
      <c r="A25" s="6">
        <v>4</v>
      </c>
      <c r="B25" s="28" t="str">
        <f>"less than "&amp;B20&amp;"%"</f>
        <v>less than 40%</v>
      </c>
      <c r="C25" s="28" t="str">
        <f>"less than "&amp;C20&amp;" degrees Celsius"</f>
        <v>less than 25 degrees Celsius</v>
      </c>
      <c r="D25" s="28"/>
      <c r="E25" s="28"/>
      <c r="F25" s="28"/>
      <c r="G25" s="29"/>
      <c r="H25" s="29"/>
      <c r="I25" s="29"/>
      <c r="J25" s="28"/>
      <c r="K25" s="28"/>
      <c r="L25" s="28"/>
      <c r="M25" s="28"/>
      <c r="N25" s="6"/>
      <c r="W25" s="19"/>
      <c r="X25" s="27"/>
      <c r="Y25" s="27"/>
      <c r="Z25" s="27"/>
      <c r="AA25" s="27"/>
      <c r="AB25" s="27"/>
    </row>
    <row r="26" spans="1:52" x14ac:dyDescent="0.2">
      <c r="A26" s="6">
        <v>5</v>
      </c>
      <c r="B26" s="28"/>
      <c r="C26" s="28"/>
      <c r="D26" s="28"/>
      <c r="E26" s="28"/>
      <c r="F26" s="28"/>
      <c r="G26" s="28"/>
      <c r="H26" s="28"/>
      <c r="I26" s="28"/>
      <c r="J26" s="28"/>
      <c r="K26" s="28"/>
      <c r="L26" s="28"/>
      <c r="M26" s="28"/>
      <c r="N26" s="6"/>
      <c r="W26" s="19"/>
      <c r="X26" s="27"/>
      <c r="Y26" s="27"/>
      <c r="Z26" s="27"/>
      <c r="AA26" s="27"/>
      <c r="AB26" s="27"/>
    </row>
    <row r="27" spans="1:52" x14ac:dyDescent="0.2">
      <c r="A27" s="6">
        <v>6</v>
      </c>
      <c r="B27" s="28"/>
      <c r="C27" s="28"/>
      <c r="D27" s="28"/>
      <c r="E27" s="28"/>
      <c r="F27" s="28"/>
      <c r="G27" s="28"/>
      <c r="H27" s="28"/>
      <c r="I27" s="28"/>
      <c r="J27" s="28"/>
      <c r="K27" s="28"/>
      <c r="L27" s="28"/>
      <c r="M27" s="28"/>
      <c r="N27" s="6"/>
      <c r="W27" s="19"/>
    </row>
    <row r="28" spans="1:52" x14ac:dyDescent="0.2">
      <c r="A28" s="6"/>
      <c r="B28" s="6"/>
      <c r="C28" s="6"/>
      <c r="D28" s="6"/>
      <c r="E28" s="6"/>
      <c r="F28" s="6"/>
      <c r="G28" s="6"/>
      <c r="H28" s="6"/>
      <c r="I28" s="6"/>
      <c r="J28" s="6"/>
      <c r="K28" s="6"/>
      <c r="L28" s="6"/>
      <c r="M28" s="6"/>
      <c r="N28" s="6"/>
      <c r="W28" s="19"/>
    </row>
    <row r="29" spans="1:52" x14ac:dyDescent="0.2">
      <c r="A29" s="6" t="s">
        <v>33</v>
      </c>
      <c r="B29" s="6"/>
      <c r="C29" s="6"/>
      <c r="D29" s="6"/>
      <c r="E29" s="6"/>
      <c r="F29" s="30" t="str">
        <f>'Decision making tool'!S91</f>
        <v/>
      </c>
      <c r="G29" s="30" t="str">
        <f>'Decision making tool'!J44</f>
        <v>Select (Yes/No)</v>
      </c>
      <c r="H29" s="30" t="str">
        <f>'Decision making tool'!AD92</f>
        <v>Yes</v>
      </c>
      <c r="I29" s="30" t="str">
        <f>'Decision making tool'!AD93</f>
        <v>Yes</v>
      </c>
      <c r="J29" s="6"/>
      <c r="K29" s="6"/>
      <c r="L29" s="6"/>
      <c r="M29" s="6"/>
      <c r="N29" s="6"/>
      <c r="W29" s="19"/>
    </row>
    <row r="30" spans="1:52" x14ac:dyDescent="0.2">
      <c r="A30" s="6"/>
      <c r="B30" s="6"/>
      <c r="C30" s="6"/>
      <c r="D30" s="6"/>
      <c r="E30" s="6"/>
      <c r="F30" s="6"/>
      <c r="G30" s="6"/>
      <c r="H30" s="6"/>
      <c r="I30" s="6"/>
      <c r="J30" s="6"/>
      <c r="K30" s="6"/>
      <c r="L30" s="6"/>
      <c r="M30" s="6"/>
      <c r="N30" s="6"/>
      <c r="W30" s="19"/>
    </row>
    <row r="31" spans="1:52" ht="32" x14ac:dyDescent="0.2">
      <c r="A31" s="6" t="s">
        <v>7</v>
      </c>
      <c r="B31" s="6" t="str">
        <f>""&amp;B3&amp;" message"</f>
        <v>Question 1: message</v>
      </c>
      <c r="C31" s="6" t="str">
        <f>""&amp;C3&amp;" message"</f>
        <v>Question 2: message</v>
      </c>
      <c r="D31" s="6" t="str">
        <f>""&amp;D3&amp;" message"</f>
        <v>Question 3: message</v>
      </c>
      <c r="E31" s="6" t="str">
        <f>""&amp;E3&amp;" message"</f>
        <v>Question 4: message</v>
      </c>
      <c r="F31" s="6" t="str">
        <f>""&amp;F3&amp;" message"</f>
        <v>Question 7: message</v>
      </c>
      <c r="G31" s="6" t="str">
        <f t="shared" ref="G31:M31" si="4">""&amp;G3&amp;" message"</f>
        <v>Question 5: message</v>
      </c>
      <c r="H31" s="6" t="str">
        <f t="shared" si="4"/>
        <v>Question 8?: message</v>
      </c>
      <c r="I31" s="6" t="str">
        <f t="shared" si="4"/>
        <v>Question 9?: message</v>
      </c>
      <c r="J31" s="6" t="str">
        <f>""&amp;J3&amp;" message"</f>
        <v>Question 6: message</v>
      </c>
      <c r="K31" s="6" t="str">
        <f>""&amp;K3&amp;" message"</f>
        <v xml:space="preserve"> message</v>
      </c>
      <c r="L31" s="6" t="str">
        <f t="shared" si="4"/>
        <v xml:space="preserve"> message</v>
      </c>
      <c r="M31" s="6" t="str">
        <f t="shared" si="4"/>
        <v xml:space="preserve"> message</v>
      </c>
      <c r="N31" s="6"/>
      <c r="W31" s="19"/>
    </row>
    <row r="32" spans="1:52" ht="64" x14ac:dyDescent="0.2">
      <c r="A32" s="6" t="s">
        <v>8</v>
      </c>
      <c r="B32" s="31" t="str">
        <f>""</f>
        <v/>
      </c>
      <c r="C32" s="31" t="str">
        <f>""</f>
        <v/>
      </c>
      <c r="D32" s="31" t="str">
        <f>""</f>
        <v/>
      </c>
      <c r="E32" s="31" t="s">
        <v>174</v>
      </c>
      <c r="F32" s="31" t="str">
        <f>""</f>
        <v/>
      </c>
      <c r="G32" s="31" t="str">
        <f>""</f>
        <v/>
      </c>
      <c r="H32" s="31" t="str">
        <f>""</f>
        <v/>
      </c>
      <c r="I32" s="31" t="str">
        <f>""</f>
        <v/>
      </c>
      <c r="J32" s="31" t="str">
        <f>""</f>
        <v/>
      </c>
      <c r="K32" s="31" t="str">
        <f>""</f>
        <v/>
      </c>
      <c r="L32" s="31" t="str">
        <f>""</f>
        <v/>
      </c>
      <c r="M32" s="31" t="str">
        <f>""</f>
        <v/>
      </c>
      <c r="N32" s="18"/>
      <c r="O32" s="6"/>
      <c r="P32" s="6"/>
      <c r="Q32" s="6"/>
      <c r="R32" s="6"/>
      <c r="S32" s="6"/>
      <c r="T32" s="6"/>
      <c r="U32" s="6"/>
      <c r="W32" s="19"/>
    </row>
    <row r="33" spans="1:23" ht="112" x14ac:dyDescent="0.2">
      <c r="A33" s="6" t="s">
        <v>9</v>
      </c>
      <c r="B33" s="31" t="s">
        <v>185</v>
      </c>
      <c r="C33" s="31"/>
      <c r="D33" s="31" t="s">
        <v>10</v>
      </c>
      <c r="E33" s="3" t="s">
        <v>189</v>
      </c>
      <c r="F33" s="31"/>
      <c r="G33" s="31" t="s">
        <v>175</v>
      </c>
      <c r="H33" s="31" t="s">
        <v>254</v>
      </c>
      <c r="I33" s="31" t="s">
        <v>86</v>
      </c>
      <c r="J33" s="31"/>
      <c r="K33" s="31" t="s">
        <v>191</v>
      </c>
      <c r="L33" s="31"/>
      <c r="M33" s="31" t="s">
        <v>195</v>
      </c>
      <c r="N33" s="18"/>
      <c r="O33" s="6"/>
      <c r="P33" s="6"/>
      <c r="Q33" s="6"/>
      <c r="R33" s="6"/>
      <c r="S33" s="6"/>
      <c r="T33" s="6"/>
      <c r="U33" s="6"/>
      <c r="W33" s="19"/>
    </row>
    <row r="34" spans="1:23" ht="112" x14ac:dyDescent="0.2">
      <c r="A34" s="6" t="s">
        <v>11</v>
      </c>
      <c r="B34" s="31"/>
      <c r="C34" s="31"/>
      <c r="D34" s="31" t="s">
        <v>198</v>
      </c>
      <c r="E34" s="31" t="str">
        <f>""</f>
        <v/>
      </c>
      <c r="F34" s="31"/>
      <c r="G34" s="31" t="s">
        <v>176</v>
      </c>
      <c r="H34" s="31" t="s">
        <v>270</v>
      </c>
      <c r="I34" s="31" t="s">
        <v>273</v>
      </c>
      <c r="J34" s="31"/>
      <c r="K34" s="31" t="s">
        <v>192</v>
      </c>
      <c r="L34" s="31"/>
      <c r="M34" s="31" t="s">
        <v>196</v>
      </c>
      <c r="N34" s="18"/>
      <c r="O34" s="6"/>
      <c r="P34" s="6"/>
      <c r="Q34" s="6"/>
      <c r="R34" s="6"/>
      <c r="S34" s="6"/>
      <c r="T34" s="6"/>
      <c r="U34" s="6"/>
      <c r="W34" s="19"/>
    </row>
    <row r="35" spans="1:23" ht="112" x14ac:dyDescent="0.2">
      <c r="A35" s="6" t="s">
        <v>12</v>
      </c>
      <c r="B35" s="31"/>
      <c r="C35" s="31"/>
      <c r="D35" s="31"/>
      <c r="E35" s="31"/>
      <c r="F35" s="31"/>
      <c r="G35" s="31" t="s">
        <v>34</v>
      </c>
      <c r="H35" s="31" t="s">
        <v>54</v>
      </c>
      <c r="I35" s="31" t="s">
        <v>255</v>
      </c>
      <c r="J35" s="31"/>
      <c r="K35" s="3" t="s">
        <v>193</v>
      </c>
      <c r="L35" s="31" t="str">
        <f>BJ117</f>
        <v/>
      </c>
      <c r="M35" s="31" t="s">
        <v>197</v>
      </c>
      <c r="N35" s="6"/>
      <c r="O35" s="6"/>
      <c r="P35" s="6"/>
      <c r="Q35" s="6"/>
      <c r="R35" s="6"/>
      <c r="S35" s="6"/>
      <c r="T35" s="6"/>
      <c r="U35" s="6"/>
      <c r="W35" s="19"/>
    </row>
    <row r="36" spans="1:23" ht="112" x14ac:dyDescent="0.2">
      <c r="A36" s="6" t="s">
        <v>13</v>
      </c>
      <c r="B36" s="31"/>
      <c r="C36" s="31"/>
      <c r="D36" s="31"/>
      <c r="E36" s="31" t="s">
        <v>190</v>
      </c>
      <c r="F36" s="31"/>
      <c r="G36" s="31" t="s">
        <v>177</v>
      </c>
      <c r="H36" s="31" t="s">
        <v>54</v>
      </c>
      <c r="I36" s="31" t="s">
        <v>271</v>
      </c>
      <c r="J36" s="31"/>
      <c r="K36" s="31"/>
      <c r="L36" s="31" t="str">
        <f>BJ117</f>
        <v/>
      </c>
      <c r="M36" s="31" t="s">
        <v>42</v>
      </c>
      <c r="N36" s="6"/>
      <c r="O36" s="6"/>
      <c r="P36" s="6"/>
      <c r="Q36" s="6"/>
      <c r="R36" s="6"/>
      <c r="S36" s="6"/>
      <c r="T36" s="6"/>
      <c r="U36" s="6"/>
    </row>
    <row r="37" spans="1:23" ht="96" x14ac:dyDescent="0.2">
      <c r="A37" s="6" t="s">
        <v>14</v>
      </c>
      <c r="B37" s="31" t="s">
        <v>186</v>
      </c>
      <c r="C37" s="31"/>
      <c r="D37" s="31"/>
      <c r="E37" s="3" t="s">
        <v>189</v>
      </c>
      <c r="F37" s="31"/>
      <c r="G37" s="31"/>
      <c r="H37" s="31" t="s">
        <v>253</v>
      </c>
      <c r="I37" s="31" t="str">
        <f>""</f>
        <v/>
      </c>
      <c r="J37" s="31"/>
      <c r="K37" s="31" t="s">
        <v>178</v>
      </c>
      <c r="L37" s="31" t="s">
        <v>194</v>
      </c>
      <c r="M37" s="31"/>
      <c r="N37" s="6"/>
      <c r="O37" s="6"/>
      <c r="P37" s="6"/>
      <c r="Q37" s="6"/>
      <c r="R37" s="6"/>
      <c r="S37" s="6"/>
      <c r="T37" s="6"/>
      <c r="U37" s="6"/>
    </row>
    <row r="38" spans="1:23" ht="64" x14ac:dyDescent="0.2">
      <c r="A38" s="6" t="s">
        <v>128</v>
      </c>
      <c r="B38" s="31"/>
      <c r="C38" s="31"/>
      <c r="D38" s="31"/>
      <c r="E38" s="31" t="s">
        <v>187</v>
      </c>
      <c r="F38" s="31"/>
      <c r="G38" s="31"/>
      <c r="H38" s="31" t="s">
        <v>272</v>
      </c>
      <c r="I38" s="31" t="str">
        <f>""</f>
        <v/>
      </c>
      <c r="J38" s="31"/>
      <c r="K38" s="31"/>
      <c r="L38" s="31"/>
      <c r="M38" s="31"/>
      <c r="N38" s="6"/>
      <c r="O38" s="6"/>
      <c r="P38" s="6"/>
      <c r="Q38" s="6"/>
      <c r="R38" s="6"/>
      <c r="S38" s="6"/>
      <c r="T38" s="6"/>
      <c r="U38" s="6"/>
    </row>
    <row r="39" spans="1:23" x14ac:dyDescent="0.2">
      <c r="A39" s="6"/>
      <c r="B39" s="6"/>
      <c r="C39" s="6"/>
      <c r="D39" s="6"/>
      <c r="E39" s="6"/>
      <c r="F39" s="6"/>
      <c r="G39" s="6"/>
      <c r="H39" s="6"/>
      <c r="I39" s="6"/>
      <c r="J39" s="6"/>
      <c r="K39" s="6"/>
      <c r="L39" s="6"/>
      <c r="M39" s="6"/>
      <c r="N39" s="6"/>
      <c r="O39" s="6"/>
      <c r="P39" s="6"/>
      <c r="Q39" s="6"/>
      <c r="R39" s="6"/>
    </row>
    <row r="40" spans="1:23" x14ac:dyDescent="0.2">
      <c r="A40" s="6"/>
      <c r="B40" s="6"/>
      <c r="C40" s="6"/>
      <c r="D40" s="6"/>
      <c r="E40" s="6"/>
      <c r="F40" s="6"/>
      <c r="G40" s="6"/>
      <c r="H40" s="6"/>
      <c r="I40" s="6"/>
      <c r="J40" s="6"/>
      <c r="K40" s="6"/>
      <c r="L40" s="6"/>
      <c r="M40" s="6"/>
      <c r="N40" s="6"/>
      <c r="O40" s="6"/>
      <c r="P40" s="6"/>
      <c r="Q40" s="6"/>
      <c r="R40" s="6"/>
    </row>
    <row r="41" spans="1:23" ht="32" x14ac:dyDescent="0.2">
      <c r="A41" s="6"/>
      <c r="B41" s="6" t="str">
        <f>""&amp;B3&amp;" calculations"</f>
        <v>Question 1: calculations</v>
      </c>
      <c r="C41" s="6" t="str">
        <f>""&amp;C3&amp;" calculations"</f>
        <v>Question 2: calculations</v>
      </c>
      <c r="D41" s="6" t="str">
        <f>""&amp;D3&amp;" calculations"</f>
        <v>Question 3: calculations</v>
      </c>
      <c r="E41" s="6" t="str">
        <f>""&amp;E3&amp;" calculations"</f>
        <v>Question 4: calculations</v>
      </c>
      <c r="F41" s="6" t="str">
        <f>""&amp;F3&amp;" calculations"</f>
        <v>Question 7: calculations</v>
      </c>
      <c r="G41" s="6" t="str">
        <f t="shared" ref="G41:M41" si="5">""&amp;G3&amp;" calculations"</f>
        <v>Question 5: calculations</v>
      </c>
      <c r="H41" s="6" t="str">
        <f t="shared" si="5"/>
        <v>Question 8?: calculations</v>
      </c>
      <c r="I41" s="6" t="str">
        <f t="shared" si="5"/>
        <v>Question 9?: calculations</v>
      </c>
      <c r="J41" s="6" t="str">
        <f>""&amp;J3&amp;" calculations"</f>
        <v>Question 6: calculations</v>
      </c>
      <c r="K41" s="6" t="str">
        <f>""&amp;K3&amp;" calculations"</f>
        <v xml:space="preserve"> calculations</v>
      </c>
      <c r="L41" s="6" t="str">
        <f t="shared" si="5"/>
        <v xml:space="preserve"> calculations</v>
      </c>
      <c r="M41" s="6" t="str">
        <f t="shared" si="5"/>
        <v xml:space="preserve"> calculations</v>
      </c>
      <c r="N41" s="6"/>
      <c r="O41" s="6"/>
      <c r="P41" s="6"/>
      <c r="Q41" s="6"/>
      <c r="R41" s="6"/>
    </row>
    <row r="42" spans="1:23" x14ac:dyDescent="0.2">
      <c r="A42" s="25" t="s">
        <v>43</v>
      </c>
      <c r="B42" s="32"/>
      <c r="C42" s="32"/>
      <c r="D42" s="32"/>
      <c r="E42" s="32" t="str">
        <f>IF(E50=0,"",IF(B51&gt;0,E32,IF(B52=0,E34,E33)))</f>
        <v/>
      </c>
      <c r="F42" s="32"/>
      <c r="G42" s="32" t="str">
        <f>IF(E51=0, G6, IF(G29=G22, G33, IF(G29=G23, G34, G32)))</f>
        <v/>
      </c>
      <c r="H42" s="32" t="str">
        <f>IF(E51=0,H32,
IF(G29=0,H32,
IF(G29=G24,H32,
IF(G29=G22,IF(H29=H22,H35,IF(H29=H23,H33,H32)),
IF(G29=G23,IF(H29=H22,H36,IF(H29=H23,H34,H32)))))))</f>
        <v/>
      </c>
      <c r="I42" s="32" t="str">
        <f>IF($E51=0,I32,IF(H29=H22,
IF($G29=0,I32,
IF($G29=G22,IF(I29=I22,I35,IF(I29=I23,""&amp;I33&amp;", move to the next section to estimate the construction costs",I32)),
IF($G29=G23,IF(I29=I22,I36,IF(I29=I23,""&amp;I34&amp;", move to the next section to estimate the construction costs",I32)),I32))),IF(H29=H23,
IF($G29=0,I32,
IF($G29=G22,IF(I29=I22,I35,IF(I29=I23,""&amp;I33&amp;", move to the next section to estimate the construction costs",I32)),
IF($G29=G23,IF(I29=I22,I36,IF(I29=I23,""&amp;I34&amp;", move to the next section to estimate the construction costs",I32)),I32))),I32)))</f>
        <v/>
      </c>
      <c r="J42" s="33"/>
      <c r="K42" s="32" t="str">
        <f>IF($B51=0,K32,IF(I156&gt;5, K35, IF(I156&gt;2, K34,IF(I156&gt;0,K33,K37))))</f>
        <v/>
      </c>
      <c r="L42" s="33"/>
      <c r="M42" s="33"/>
      <c r="N42" s="6"/>
      <c r="O42" s="6"/>
      <c r="P42" s="6"/>
      <c r="Q42" s="6"/>
      <c r="R42" s="6"/>
    </row>
    <row r="43" spans="1:23" x14ac:dyDescent="0.2">
      <c r="N43" s="6"/>
      <c r="O43" s="6"/>
      <c r="P43" s="6"/>
      <c r="Q43" s="6"/>
      <c r="R43" s="6"/>
      <c r="S43" s="6"/>
      <c r="T43" s="6"/>
      <c r="U43" s="6"/>
      <c r="V43" s="6"/>
    </row>
    <row r="44" spans="1:23" ht="87" customHeight="1" x14ac:dyDescent="0.2">
      <c r="A44" s="6" t="s">
        <v>85</v>
      </c>
      <c r="B44" s="34"/>
      <c r="C44" s="34"/>
      <c r="D44" s="34"/>
      <c r="E44" s="34" t="str">
        <f>IF(E50=0,"",IF(B51&gt;0,E36,IF(B52=0,E38,E37)))</f>
        <v/>
      </c>
      <c r="F44" s="34"/>
      <c r="G44" s="34" t="str">
        <f>IF(G29=G25, G36,IF(G29=G24, G36, IF(E51=0, G6, IF(G29=G22, ""&amp;G33&amp;" (See Question 5)", IF(G29=G23, ""&amp;G34&amp;" (See Question 5)", G32)))))</f>
        <v>Enter the amount of vegetables that need to be stored to see more information about a suitable evaporative cooling device (See Question 5)</v>
      </c>
      <c r="H44" s="34" t="str">
        <f>IF(E51=0,H32,
IF(G29=0,H32,
IF(G29=G24,H32,
IF(G29=G22,IF(H29=H22,H37,""&amp;H33&amp;" (See Question 7)"),
IF(G29=G23,IF(H29=H22,H38,""&amp;H34&amp;" (See Question 7)"),H32)))))</f>
        <v/>
      </c>
      <c r="I44" s="34" t="str">
        <f>IF($E51=0,I32,IF(H29=H22,
IF($G29=0,I32,
IF($G29=G22,IF(I29=I22,I37,""&amp;I33&amp;" (See Question 8)"),
IF($G29=G23,IF(I29=I22,I38,""&amp;I34&amp;" (See Question 8)"),I32))),I32))</f>
        <v/>
      </c>
      <c r="J44" s="34" t="str">
        <f>IF(J42=0, "", J42)</f>
        <v/>
      </c>
      <c r="K44" s="34" t="str">
        <f>K42</f>
        <v/>
      </c>
      <c r="L44" s="34" t="str">
        <f>IF(SUM('Decision making tool'!G88:R88)=0,L37,IF('Decision making tool'!S91=0,L36,L35))</f>
        <v>Enter the amount of money that is spent each month due to inadequate vegetable storage (See Question 6)</v>
      </c>
      <c r="M44" s="34"/>
      <c r="N44" s="6"/>
      <c r="O44" s="6"/>
      <c r="P44" s="6"/>
      <c r="Q44" s="6"/>
      <c r="R44" s="6"/>
      <c r="S44" s="6"/>
      <c r="T44" s="6"/>
      <c r="U44" s="6"/>
    </row>
    <row r="45" spans="1:23" x14ac:dyDescent="0.2">
      <c r="A45" s="22"/>
      <c r="B45" s="23"/>
      <c r="C45" s="23"/>
      <c r="D45" s="23"/>
      <c r="E45" s="22"/>
      <c r="F45" s="22"/>
      <c r="G45" s="22"/>
      <c r="H45" s="22"/>
      <c r="I45" s="22"/>
      <c r="J45" s="22"/>
      <c r="K45" s="22"/>
      <c r="L45" s="22"/>
      <c r="M45" s="22"/>
      <c r="N45" s="6"/>
      <c r="O45" s="6"/>
      <c r="P45" s="6"/>
      <c r="Q45" s="6"/>
      <c r="R45" s="6"/>
      <c r="S45" s="6"/>
      <c r="T45" s="6"/>
      <c r="U45" s="6"/>
    </row>
    <row r="46" spans="1:23" x14ac:dyDescent="0.2">
      <c r="A46" s="6"/>
      <c r="N46" s="6"/>
      <c r="O46" s="6"/>
      <c r="P46" s="6"/>
      <c r="Q46" s="6"/>
      <c r="R46" s="6"/>
      <c r="S46" s="6"/>
      <c r="T46" s="6"/>
      <c r="U46" s="6"/>
    </row>
    <row r="47" spans="1:23" x14ac:dyDescent="0.2">
      <c r="A47" s="6"/>
      <c r="N47" s="6"/>
      <c r="O47" s="6"/>
      <c r="P47" s="6"/>
      <c r="Q47" s="6"/>
      <c r="R47" s="6"/>
      <c r="S47" s="6"/>
      <c r="T47" s="6"/>
      <c r="U47" s="6"/>
    </row>
    <row r="48" spans="1:23" x14ac:dyDescent="0.2">
      <c r="A48" s="6"/>
      <c r="B48" s="6"/>
      <c r="C48" s="6"/>
      <c r="D48" s="6"/>
      <c r="E48" s="6"/>
      <c r="F48" s="6"/>
      <c r="G48" s="6"/>
      <c r="H48" s="6"/>
      <c r="I48" s="6"/>
      <c r="J48" s="6"/>
      <c r="L48" s="6"/>
      <c r="M48" s="6"/>
      <c r="N48" s="6"/>
      <c r="O48" s="6"/>
      <c r="P48" s="6"/>
      <c r="Q48" s="6"/>
      <c r="R48" s="6"/>
      <c r="S48" s="6"/>
      <c r="T48" s="6"/>
      <c r="U48" s="6"/>
    </row>
    <row r="49" spans="1:21" ht="48" x14ac:dyDescent="0.2">
      <c r="A49" s="6"/>
      <c r="B49" s="6" t="s">
        <v>92</v>
      </c>
      <c r="C49" s="6"/>
      <c r="D49" s="6"/>
      <c r="E49" s="35" t="s">
        <v>15</v>
      </c>
      <c r="F49" s="6"/>
      <c r="G49" s="6"/>
      <c r="H49" s="6"/>
      <c r="I49" s="6"/>
      <c r="J49" s="6"/>
      <c r="L49" s="6"/>
      <c r="M49" s="6"/>
      <c r="N49" s="6"/>
      <c r="O49" s="6"/>
      <c r="P49" s="6"/>
      <c r="Q49" s="6"/>
      <c r="R49" s="6"/>
      <c r="S49" s="6"/>
      <c r="T49" s="6"/>
      <c r="U49" s="6"/>
    </row>
    <row r="50" spans="1:21" x14ac:dyDescent="0.2">
      <c r="A50" s="6"/>
      <c r="B50" s="36">
        <f>IF('Decision making tool'!J43="Yes",1,IF('Decision making tool'!J43="No",-1,0))</f>
        <v>0</v>
      </c>
      <c r="C50" s="6" t="s">
        <v>88</v>
      </c>
      <c r="D50" s="6"/>
      <c r="E50" s="7">
        <f>IF(SUM(F99:F102)&gt;0,1,0)</f>
        <v>0</v>
      </c>
      <c r="F50" s="6" t="s">
        <v>132</v>
      </c>
      <c r="G50" s="6"/>
      <c r="H50" s="6"/>
      <c r="I50" s="6"/>
      <c r="J50" s="6"/>
      <c r="L50" s="6"/>
      <c r="M50" s="6"/>
      <c r="N50" s="6"/>
      <c r="O50" s="6"/>
      <c r="P50" s="6"/>
      <c r="Q50" s="6"/>
      <c r="R50" s="6"/>
      <c r="S50" s="6"/>
      <c r="T50" s="6"/>
      <c r="U50" s="6"/>
    </row>
    <row r="51" spans="1:21" x14ac:dyDescent="0.2">
      <c r="A51" s="6"/>
      <c r="B51" s="36">
        <f>IF(B50=1, 1, 0)</f>
        <v>0</v>
      </c>
      <c r="C51" s="6" t="s">
        <v>28</v>
      </c>
      <c r="D51" s="6"/>
      <c r="E51" s="25">
        <f>IF(B51=0, 0, IF(E50=0, 0, 1))</f>
        <v>0</v>
      </c>
      <c r="F51" s="6" t="s">
        <v>133</v>
      </c>
      <c r="G51" s="6"/>
      <c r="H51" s="6"/>
      <c r="I51" s="6"/>
      <c r="J51" s="6"/>
      <c r="L51" s="6"/>
      <c r="M51" s="6"/>
      <c r="N51" s="6"/>
      <c r="O51" s="6"/>
      <c r="P51" s="6"/>
      <c r="Q51" s="6"/>
      <c r="R51" s="6"/>
      <c r="S51" s="6"/>
      <c r="T51" s="6"/>
      <c r="U51" s="6"/>
    </row>
    <row r="52" spans="1:21" x14ac:dyDescent="0.2">
      <c r="A52" s="6"/>
      <c r="B52" s="36">
        <f>IF(B50=-1, -1, 0)</f>
        <v>0</v>
      </c>
      <c r="C52" s="6" t="s">
        <v>89</v>
      </c>
      <c r="D52" s="6"/>
      <c r="E52" s="6"/>
      <c r="F52" s="6"/>
      <c r="G52" s="6"/>
      <c r="H52" s="6"/>
      <c r="I52" s="6"/>
      <c r="J52" s="6"/>
      <c r="L52" s="6"/>
      <c r="M52" s="6"/>
      <c r="N52" s="6"/>
      <c r="O52" s="6"/>
      <c r="P52" s="6"/>
      <c r="Q52" s="6"/>
      <c r="R52" s="6"/>
      <c r="S52" s="6"/>
      <c r="T52" s="6"/>
      <c r="U52" s="6"/>
    </row>
    <row r="53" spans="1:21" x14ac:dyDescent="0.2">
      <c r="A53" s="6"/>
      <c r="B53" s="6"/>
      <c r="C53" s="6"/>
      <c r="D53" s="6"/>
      <c r="E53" s="6"/>
      <c r="F53" s="6"/>
      <c r="G53" s="6"/>
      <c r="H53" s="6"/>
      <c r="I53" s="6"/>
      <c r="J53" s="6"/>
      <c r="L53" s="6"/>
      <c r="M53" s="6"/>
      <c r="N53" s="6"/>
      <c r="O53" s="6"/>
      <c r="P53" s="6"/>
      <c r="Q53" s="6"/>
      <c r="R53" s="6"/>
      <c r="S53" s="6"/>
      <c r="T53" s="6"/>
      <c r="U53" s="6"/>
    </row>
    <row r="54" spans="1:21" x14ac:dyDescent="0.2">
      <c r="A54" s="6"/>
      <c r="B54" s="6"/>
      <c r="C54" s="6"/>
      <c r="D54" s="6"/>
      <c r="E54" s="6"/>
      <c r="F54" s="6"/>
      <c r="G54" s="6"/>
      <c r="H54" s="6"/>
      <c r="I54" s="6"/>
      <c r="J54" s="6"/>
      <c r="L54" s="6"/>
      <c r="M54" s="6"/>
      <c r="N54" s="6"/>
      <c r="O54" s="6"/>
      <c r="P54" s="6"/>
      <c r="Q54" s="6"/>
      <c r="R54" s="6"/>
      <c r="S54" s="6"/>
      <c r="T54" s="6"/>
      <c r="U54" s="6"/>
    </row>
    <row r="55" spans="1:21" x14ac:dyDescent="0.2">
      <c r="A55" s="6"/>
      <c r="B55" s="6"/>
      <c r="C55" s="6"/>
      <c r="D55" s="6"/>
      <c r="E55" s="6"/>
      <c r="F55" s="6"/>
      <c r="G55" s="6"/>
      <c r="H55" s="6"/>
      <c r="I55" s="6"/>
      <c r="J55" s="6"/>
      <c r="L55" s="6"/>
      <c r="M55" s="6"/>
      <c r="N55" s="6"/>
      <c r="O55" s="6"/>
      <c r="P55" s="6"/>
      <c r="Q55" s="6"/>
      <c r="R55" s="6"/>
      <c r="S55" s="6"/>
      <c r="T55" s="6"/>
      <c r="U55" s="6"/>
    </row>
    <row r="56" spans="1:21" x14ac:dyDescent="0.2">
      <c r="A56" s="6"/>
      <c r="B56" s="6"/>
      <c r="C56" s="6"/>
      <c r="D56" s="6"/>
      <c r="E56" s="6"/>
      <c r="F56" s="6"/>
      <c r="G56" s="6"/>
      <c r="H56" s="6"/>
      <c r="I56" s="6"/>
      <c r="J56" s="6"/>
      <c r="L56" s="6"/>
      <c r="M56" s="6"/>
      <c r="N56" s="6"/>
      <c r="O56" s="6"/>
      <c r="P56" s="6"/>
      <c r="Q56" s="6"/>
      <c r="R56" s="6"/>
      <c r="S56" s="6"/>
      <c r="T56" s="6"/>
      <c r="U56" s="6"/>
    </row>
    <row r="57" spans="1:21" x14ac:dyDescent="0.2">
      <c r="A57" s="6"/>
      <c r="B57" s="6"/>
      <c r="C57" s="6"/>
      <c r="D57" s="6"/>
      <c r="E57" s="6"/>
      <c r="F57" s="6"/>
      <c r="G57" s="6"/>
      <c r="H57" s="6"/>
      <c r="I57" s="6"/>
      <c r="J57" s="6"/>
      <c r="L57" s="6"/>
      <c r="M57" s="6"/>
      <c r="N57" s="6"/>
      <c r="O57" s="6"/>
      <c r="P57" s="6"/>
      <c r="Q57" s="6"/>
      <c r="R57" s="6"/>
      <c r="S57" s="6"/>
      <c r="T57" s="6"/>
      <c r="U57" s="6"/>
    </row>
    <row r="58" spans="1:21" x14ac:dyDescent="0.2">
      <c r="A58" s="6"/>
      <c r="B58" s="6"/>
      <c r="C58" s="6"/>
      <c r="D58" s="6"/>
      <c r="E58" s="6"/>
      <c r="F58" s="6"/>
      <c r="G58" s="6"/>
      <c r="H58" s="6"/>
      <c r="I58" s="6"/>
      <c r="J58" s="6"/>
      <c r="L58" s="6"/>
      <c r="M58" s="6"/>
      <c r="N58" s="6"/>
      <c r="O58" s="6"/>
      <c r="P58" s="6"/>
      <c r="Q58" s="6"/>
      <c r="R58" s="6"/>
      <c r="S58" s="6"/>
      <c r="T58" s="6"/>
      <c r="U58" s="6"/>
    </row>
    <row r="59" spans="1:21" x14ac:dyDescent="0.2">
      <c r="A59" s="6"/>
      <c r="B59" s="6"/>
      <c r="C59" s="6"/>
      <c r="D59" s="6"/>
      <c r="E59" s="6"/>
      <c r="F59" s="6"/>
      <c r="G59" s="6"/>
      <c r="H59" s="6"/>
      <c r="I59" s="6"/>
      <c r="J59" s="6"/>
      <c r="L59" s="6"/>
      <c r="M59" s="6"/>
      <c r="N59" s="6"/>
      <c r="O59" s="6"/>
      <c r="P59" s="6"/>
      <c r="Q59" s="6"/>
      <c r="R59" s="6"/>
      <c r="S59" s="6"/>
      <c r="T59" s="6"/>
      <c r="U59" s="6"/>
    </row>
    <row r="60" spans="1:21" x14ac:dyDescent="0.2">
      <c r="A60" s="6"/>
      <c r="B60" s="6"/>
      <c r="C60" s="6"/>
      <c r="D60" s="6"/>
      <c r="E60" s="6"/>
      <c r="F60" s="6"/>
      <c r="G60" s="6"/>
      <c r="H60" s="6"/>
      <c r="I60" s="6"/>
      <c r="J60" s="6"/>
      <c r="L60" s="6"/>
      <c r="M60" s="6"/>
      <c r="N60" s="6"/>
      <c r="O60" s="6"/>
      <c r="P60" s="6"/>
      <c r="Q60" s="6"/>
      <c r="R60" s="6"/>
      <c r="S60" s="6"/>
      <c r="T60" s="6"/>
      <c r="U60" s="6"/>
    </row>
    <row r="61" spans="1:21" x14ac:dyDescent="0.2">
      <c r="A61" s="6"/>
      <c r="B61" s="6"/>
      <c r="C61" s="6"/>
      <c r="D61" s="6"/>
      <c r="E61" s="6"/>
      <c r="F61" s="6"/>
      <c r="G61" s="6"/>
      <c r="H61" s="6"/>
      <c r="I61" s="6"/>
      <c r="J61" s="6"/>
      <c r="L61" s="6"/>
      <c r="M61" s="6"/>
      <c r="N61" s="6"/>
      <c r="O61" s="6"/>
      <c r="P61" s="6"/>
      <c r="Q61" s="6"/>
      <c r="R61" s="6"/>
      <c r="S61" s="6"/>
      <c r="T61" s="6"/>
      <c r="U61" s="6"/>
    </row>
    <row r="62" spans="1:21" x14ac:dyDescent="0.2">
      <c r="A62" s="37" t="s">
        <v>57</v>
      </c>
      <c r="B62" s="9"/>
      <c r="C62" s="9"/>
      <c r="D62" s="9"/>
      <c r="E62" s="9"/>
      <c r="F62" s="9"/>
      <c r="G62" s="9"/>
      <c r="H62" s="9"/>
      <c r="I62" s="9"/>
      <c r="J62" s="9"/>
      <c r="K62" s="9"/>
      <c r="L62" s="9"/>
      <c r="M62" s="9"/>
      <c r="N62" s="9"/>
      <c r="O62" s="9"/>
      <c r="P62" s="9"/>
      <c r="Q62" s="9"/>
      <c r="R62" s="10"/>
      <c r="S62" s="6"/>
      <c r="T62" s="6"/>
      <c r="U62" s="6"/>
    </row>
    <row r="63" spans="1:21" x14ac:dyDescent="0.2">
      <c r="A63" s="38"/>
      <c r="B63" s="11"/>
      <c r="C63" s="11"/>
      <c r="D63" s="11"/>
      <c r="E63" s="11"/>
      <c r="F63" s="11"/>
      <c r="G63" s="11"/>
      <c r="H63" s="11"/>
      <c r="I63" s="11"/>
      <c r="J63" s="11"/>
      <c r="K63" s="11"/>
      <c r="L63" s="11"/>
      <c r="M63" s="11"/>
      <c r="N63" s="11"/>
      <c r="O63" s="11"/>
      <c r="P63" s="11"/>
      <c r="Q63" s="11"/>
      <c r="R63" s="12"/>
      <c r="S63" s="6"/>
      <c r="T63" s="6"/>
      <c r="U63" s="6"/>
    </row>
    <row r="64" spans="1:21" x14ac:dyDescent="0.2">
      <c r="A64" s="38"/>
      <c r="B64" s="39" t="str">
        <f>Calculations!B22</f>
        <v>Select the typical humidity</v>
      </c>
      <c r="C64" s="39"/>
      <c r="D64" s="11"/>
      <c r="E64" s="11"/>
      <c r="F64" s="11"/>
      <c r="G64" s="11"/>
      <c r="H64" s="11"/>
      <c r="I64" s="11"/>
      <c r="J64" s="11"/>
      <c r="K64" s="11"/>
      <c r="L64" s="11"/>
      <c r="M64" s="11"/>
      <c r="N64" s="11"/>
      <c r="O64" s="11"/>
      <c r="P64" s="11"/>
      <c r="Q64" s="11"/>
      <c r="R64" s="12"/>
      <c r="S64" s="6"/>
      <c r="T64" s="6"/>
      <c r="U64" s="6"/>
    </row>
    <row r="65" spans="1:21" x14ac:dyDescent="0.2">
      <c r="A65" s="38"/>
      <c r="B65" s="39" t="str">
        <f>Calculations!B23</f>
        <v>greater than 70%</v>
      </c>
      <c r="C65" s="39"/>
      <c r="D65" s="11"/>
      <c r="E65" s="11"/>
      <c r="F65" s="11"/>
      <c r="G65" s="76" t="b">
        <v>0</v>
      </c>
      <c r="H65" s="76" t="b">
        <v>0</v>
      </c>
      <c r="I65" s="76" t="b">
        <v>0</v>
      </c>
      <c r="J65" s="76" t="b">
        <v>0</v>
      </c>
      <c r="K65" s="76" t="b">
        <v>0</v>
      </c>
      <c r="L65" s="76" t="b">
        <v>0</v>
      </c>
      <c r="M65" s="76" t="b">
        <v>0</v>
      </c>
      <c r="N65" s="76" t="b">
        <v>0</v>
      </c>
      <c r="O65" s="76" t="b">
        <v>0</v>
      </c>
      <c r="P65" s="76" t="b">
        <v>0</v>
      </c>
      <c r="Q65" s="76" t="b">
        <v>0</v>
      </c>
      <c r="R65" s="77" t="b">
        <v>0</v>
      </c>
      <c r="S65" s="6"/>
      <c r="T65" s="6"/>
      <c r="U65" s="6"/>
    </row>
    <row r="66" spans="1:21" x14ac:dyDescent="0.2">
      <c r="A66" s="38"/>
      <c r="B66" s="39" t="str">
        <f>Calculations!B24</f>
        <v>between 40% and 70%</v>
      </c>
      <c r="C66" s="39"/>
      <c r="D66" s="11"/>
      <c r="E66" s="11"/>
      <c r="F66" s="11"/>
      <c r="G66" s="11">
        <f>IF(G65=TRUE, 1, 0)</f>
        <v>0</v>
      </c>
      <c r="H66" s="11">
        <f t="shared" ref="H66:R66" si="6">IF(H65=TRUE, 1, 0)</f>
        <v>0</v>
      </c>
      <c r="I66" s="11">
        <f t="shared" si="6"/>
        <v>0</v>
      </c>
      <c r="J66" s="11">
        <f t="shared" si="6"/>
        <v>0</v>
      </c>
      <c r="K66" s="11">
        <f t="shared" si="6"/>
        <v>0</v>
      </c>
      <c r="L66" s="11">
        <f t="shared" si="6"/>
        <v>0</v>
      </c>
      <c r="M66" s="11">
        <f t="shared" si="6"/>
        <v>0</v>
      </c>
      <c r="N66" s="11">
        <f t="shared" si="6"/>
        <v>0</v>
      </c>
      <c r="O66" s="11">
        <f t="shared" si="6"/>
        <v>0</v>
      </c>
      <c r="P66" s="11">
        <f t="shared" si="6"/>
        <v>0</v>
      </c>
      <c r="Q66" s="11">
        <f t="shared" si="6"/>
        <v>0</v>
      </c>
      <c r="R66" s="12">
        <f t="shared" si="6"/>
        <v>0</v>
      </c>
      <c r="S66" s="6"/>
      <c r="T66" s="6"/>
      <c r="U66" s="6"/>
    </row>
    <row r="67" spans="1:21" x14ac:dyDescent="0.2">
      <c r="A67" s="38"/>
      <c r="B67" s="39" t="str">
        <f>Calculations!B25</f>
        <v>less than 40%</v>
      </c>
      <c r="C67" s="39"/>
      <c r="D67" s="11"/>
      <c r="E67" s="11"/>
      <c r="F67" s="11"/>
      <c r="G67" s="11">
        <f>IF('Decision making tool'!G24=$B65, 1, IF('Decision making tool'!G24=$B66, 2, IF('Decision making tool'!G24=$B67, 3, 0)))</f>
        <v>0</v>
      </c>
      <c r="H67" s="11">
        <f>IF('Decision making tool'!H24=$B65, 1, IF('Decision making tool'!H24=$B66, 2, IF('Decision making tool'!H24=$B67, 3, 0)))</f>
        <v>0</v>
      </c>
      <c r="I67" s="11">
        <f>IF('Decision making tool'!I24=$B65, 1, IF('Decision making tool'!I24=$B66, 2, IF('Decision making tool'!I24=$B67, 3, 0)))</f>
        <v>0</v>
      </c>
      <c r="J67" s="11">
        <f>IF('Decision making tool'!J24=$B65, 1, IF('Decision making tool'!J24=$B66, 2, IF('Decision making tool'!J24=$B67, 3, 0)))</f>
        <v>0</v>
      </c>
      <c r="K67" s="11">
        <f>IF('Decision making tool'!K24=$B65, 1, IF('Decision making tool'!K24=$B66, 2, IF('Decision making tool'!K24=$B67, 3, 0)))</f>
        <v>0</v>
      </c>
      <c r="L67" s="11">
        <f>IF('Decision making tool'!L24=$B65, 1, IF('Decision making tool'!L24=$B66, 2, IF('Decision making tool'!L24=$B67, 3, 0)))</f>
        <v>0</v>
      </c>
      <c r="M67" s="11">
        <f>IF('Decision making tool'!M24=$B65, 1, IF('Decision making tool'!M24=$B66, 2, IF('Decision making tool'!M24=$B67, 3, 0)))</f>
        <v>0</v>
      </c>
      <c r="N67" s="11">
        <f>IF('Decision making tool'!N24=$B65, 1, IF('Decision making tool'!N24=$B66, 2, IF('Decision making tool'!N24=$B67, 3, 0)))</f>
        <v>0</v>
      </c>
      <c r="O67" s="11">
        <f>IF('Decision making tool'!O24=$B65, 1, IF('Decision making tool'!O24=$B66, 2, IF('Decision making tool'!O24=$B67, 3, 0)))</f>
        <v>0</v>
      </c>
      <c r="P67" s="11">
        <f>IF('Decision making tool'!P24=$B65, 1, IF('Decision making tool'!P24=$B66, 2, IF('Decision making tool'!P24=$B67, 3, 0)))</f>
        <v>0</v>
      </c>
      <c r="Q67" s="11">
        <f>IF('Decision making tool'!Q24=$B65, 1, IF('Decision making tool'!Q24=$B66, 2, IF('Decision making tool'!Q24=$B67, 3, 0)))</f>
        <v>0</v>
      </c>
      <c r="R67" s="12">
        <f>IF('Decision making tool'!R24=$B65, 1, IF('Decision making tool'!R24=$B66, 2, IF('Decision making tool'!R24=$B67, 3, 0)))</f>
        <v>0</v>
      </c>
      <c r="S67" s="6"/>
      <c r="T67" s="6"/>
      <c r="U67" s="6"/>
    </row>
    <row r="68" spans="1:21" x14ac:dyDescent="0.2">
      <c r="A68" s="38"/>
      <c r="B68" s="11"/>
      <c r="C68" s="11"/>
      <c r="D68" s="11"/>
      <c r="E68" s="11"/>
      <c r="F68" s="11"/>
      <c r="G68" s="11">
        <f>IF('Decision making tool'!G25=$B70, 1, IF('Decision making tool'!G25=$B71, 2, IF('Decision making tool'!G25=$B72, 3, 0)))</f>
        <v>0</v>
      </c>
      <c r="H68" s="11">
        <f>IF('Decision making tool'!H25=$B70, 1, IF('Decision making tool'!H25=$B71, 2, IF('Decision making tool'!H25=$B72, 3, 0)))</f>
        <v>0</v>
      </c>
      <c r="I68" s="11">
        <f>IF('Decision making tool'!I25=$B70, 1, IF('Decision making tool'!I25=$B71, 2, IF('Decision making tool'!I25=$B72, 3, 0)))</f>
        <v>0</v>
      </c>
      <c r="J68" s="11">
        <f>IF('Decision making tool'!J25=$B70, 1, IF('Decision making tool'!J25=$B71, 2, IF('Decision making tool'!J25=$B72, 3, 0)))</f>
        <v>0</v>
      </c>
      <c r="K68" s="11">
        <f>IF('Decision making tool'!K25=$B70, 1, IF('Decision making tool'!K25=$B71, 2, IF('Decision making tool'!K25=$B72, 3, 0)))</f>
        <v>0</v>
      </c>
      <c r="L68" s="11">
        <f>IF('Decision making tool'!L25=$B70, 1, IF('Decision making tool'!L25=$B71, 2, IF('Decision making tool'!L25=$B72, 3, 0)))</f>
        <v>0</v>
      </c>
      <c r="M68" s="11">
        <f>IF('Decision making tool'!M25=$B70, 1, IF('Decision making tool'!M25=$B71, 2, IF('Decision making tool'!M25=$B72, 3, 0)))</f>
        <v>0</v>
      </c>
      <c r="N68" s="11">
        <f>IF('Decision making tool'!N25=$B70, 1, IF('Decision making tool'!N25=$B71, 2, IF('Decision making tool'!N25=$B72, 3, 0)))</f>
        <v>0</v>
      </c>
      <c r="O68" s="11">
        <f>IF('Decision making tool'!O25=$B70, 1, IF('Decision making tool'!O25=$B71, 2, IF('Decision making tool'!O25=$B72, 3, 0)))</f>
        <v>0</v>
      </c>
      <c r="P68" s="11">
        <f>IF('Decision making tool'!P25=$B70, 1, IF('Decision making tool'!P25=$B71, 2, IF('Decision making tool'!P25=$B72, 3, 0)))</f>
        <v>0</v>
      </c>
      <c r="Q68" s="11">
        <f>IF('Decision making tool'!Q25=$B70, 1, IF('Decision making tool'!Q25=$B71, 2, IF('Decision making tool'!Q25=$B72, 3, 0)))</f>
        <v>0</v>
      </c>
      <c r="R68" s="12">
        <f>IF('Decision making tool'!R25=$B70, 1, IF('Decision making tool'!R25=$B71, 2, IF('Decision making tool'!R25=$B72, 3, 0)))</f>
        <v>0</v>
      </c>
      <c r="S68" s="6"/>
      <c r="T68" s="6"/>
      <c r="U68" s="6"/>
    </row>
    <row r="69" spans="1:21" x14ac:dyDescent="0.2">
      <c r="A69" s="38"/>
      <c r="B69" s="39" t="str">
        <f>Calculations!C22</f>
        <v>Select the typical maximum daily temperature</v>
      </c>
      <c r="C69" s="39"/>
      <c r="D69" s="11"/>
      <c r="E69" s="11"/>
      <c r="F69" s="11"/>
      <c r="G69" s="11"/>
      <c r="H69" s="11"/>
      <c r="I69" s="11"/>
      <c r="J69" s="11"/>
      <c r="K69" s="11"/>
      <c r="L69" s="11"/>
      <c r="M69" s="11"/>
      <c r="N69" s="11"/>
      <c r="O69" s="11"/>
      <c r="P69" s="11"/>
      <c r="Q69" s="11"/>
      <c r="R69" s="12"/>
      <c r="S69" s="6"/>
      <c r="T69" s="6"/>
      <c r="U69" s="6"/>
    </row>
    <row r="70" spans="1:21" x14ac:dyDescent="0.2">
      <c r="A70" s="38"/>
      <c r="B70" s="39" t="str">
        <f>Calculations!C23</f>
        <v>greater than 35 degrees Celsius</v>
      </c>
      <c r="C70" s="39"/>
      <c r="D70" s="11"/>
      <c r="E70" s="11"/>
      <c r="F70" s="11"/>
      <c r="G70" s="11"/>
      <c r="H70" s="11"/>
      <c r="I70" s="11"/>
      <c r="J70" s="11"/>
      <c r="K70" s="11"/>
      <c r="L70" s="11"/>
      <c r="M70" s="11"/>
      <c r="N70" s="11"/>
      <c r="O70" s="11"/>
      <c r="P70" s="11"/>
      <c r="Q70" s="11"/>
      <c r="R70" s="12"/>
      <c r="S70" s="6"/>
      <c r="T70" s="6"/>
      <c r="U70" s="6"/>
    </row>
    <row r="71" spans="1:21" x14ac:dyDescent="0.2">
      <c r="A71" s="38"/>
      <c r="B71" s="39" t="str">
        <f>Calculations!C24</f>
        <v>between 25 and 35 degrees Celsius</v>
      </c>
      <c r="C71" s="39"/>
      <c r="D71" s="11"/>
      <c r="E71" s="11"/>
      <c r="F71" s="11"/>
      <c r="G71" s="11"/>
      <c r="H71" s="11"/>
      <c r="I71" s="11"/>
      <c r="J71" s="11"/>
      <c r="K71" s="11"/>
      <c r="L71" s="11"/>
      <c r="M71" s="11"/>
      <c r="N71" s="11"/>
      <c r="O71" s="11"/>
      <c r="P71" s="11"/>
      <c r="Q71" s="11"/>
      <c r="R71" s="12"/>
      <c r="S71" s="6"/>
      <c r="T71" s="6"/>
      <c r="U71" s="6"/>
    </row>
    <row r="72" spans="1:21" x14ac:dyDescent="0.2">
      <c r="A72" s="38"/>
      <c r="B72" s="39" t="str">
        <f>Calculations!C25</f>
        <v>less than 25 degrees Celsius</v>
      </c>
      <c r="C72" s="39"/>
      <c r="D72" s="11"/>
      <c r="E72" s="11"/>
      <c r="F72" s="11"/>
      <c r="G72" s="11"/>
      <c r="H72" s="11"/>
      <c r="I72" s="11"/>
      <c r="J72" s="11"/>
      <c r="K72" s="11"/>
      <c r="L72" s="11"/>
      <c r="M72" s="11"/>
      <c r="N72" s="11"/>
      <c r="O72" s="11"/>
      <c r="P72" s="11"/>
      <c r="Q72" s="11"/>
      <c r="R72" s="12"/>
      <c r="S72" s="6"/>
      <c r="T72" s="6"/>
      <c r="U72" s="6"/>
    </row>
    <row r="73" spans="1:21" x14ac:dyDescent="0.2">
      <c r="A73" s="38"/>
      <c r="B73" s="11"/>
      <c r="C73" s="11"/>
      <c r="D73" s="11"/>
      <c r="E73" s="11"/>
      <c r="F73" s="11"/>
      <c r="G73" s="11"/>
      <c r="H73" s="11"/>
      <c r="I73" s="11"/>
      <c r="J73" s="11"/>
      <c r="K73" s="11"/>
      <c r="L73" s="11"/>
      <c r="M73" s="11"/>
      <c r="N73" s="11"/>
      <c r="O73" s="11"/>
      <c r="P73" s="11"/>
      <c r="Q73" s="11"/>
      <c r="R73" s="12"/>
      <c r="S73" s="6"/>
      <c r="T73" s="6"/>
      <c r="U73" s="6"/>
    </row>
    <row r="74" spans="1:21" x14ac:dyDescent="0.2">
      <c r="A74" s="38"/>
      <c r="B74" s="11"/>
      <c r="C74" s="11"/>
      <c r="D74" s="11"/>
      <c r="E74" s="11"/>
      <c r="F74" s="11"/>
      <c r="G74" s="11"/>
      <c r="H74" s="11"/>
      <c r="I74" s="11"/>
      <c r="J74" s="11"/>
      <c r="K74" s="11"/>
      <c r="L74" s="11"/>
      <c r="M74" s="11"/>
      <c r="N74" s="11"/>
      <c r="O74" s="11"/>
      <c r="P74" s="11"/>
      <c r="Q74" s="11"/>
      <c r="R74" s="12"/>
      <c r="S74" s="6"/>
      <c r="T74" s="6"/>
      <c r="U74" s="6"/>
    </row>
    <row r="75" spans="1:21" x14ac:dyDescent="0.2">
      <c r="A75" s="38"/>
      <c r="B75" s="11"/>
      <c r="C75" s="11"/>
      <c r="D75" s="11"/>
      <c r="E75" s="11"/>
      <c r="F75" s="11"/>
      <c r="G75" s="11" t="s">
        <v>17</v>
      </c>
      <c r="H75" s="11" t="s">
        <v>18</v>
      </c>
      <c r="I75" s="11" t="s">
        <v>19</v>
      </c>
      <c r="J75" s="11" t="s">
        <v>20</v>
      </c>
      <c r="K75" s="11" t="s">
        <v>21</v>
      </c>
      <c r="L75" s="11" t="s">
        <v>22</v>
      </c>
      <c r="M75" s="11" t="s">
        <v>23</v>
      </c>
      <c r="N75" s="11" t="s">
        <v>24</v>
      </c>
      <c r="O75" s="11" t="s">
        <v>36</v>
      </c>
      <c r="P75" s="11" t="s">
        <v>25</v>
      </c>
      <c r="Q75" s="11" t="s">
        <v>26</v>
      </c>
      <c r="R75" s="12" t="s">
        <v>27</v>
      </c>
      <c r="S75" s="6"/>
      <c r="T75" s="6"/>
      <c r="U75" s="6"/>
    </row>
    <row r="76" spans="1:21" x14ac:dyDescent="0.2">
      <c r="A76" s="38"/>
      <c r="B76" s="11"/>
      <c r="C76" s="11"/>
      <c r="D76" s="11"/>
      <c r="E76" s="11"/>
      <c r="F76" s="11" t="s">
        <v>97</v>
      </c>
      <c r="G76" s="11">
        <v>1</v>
      </c>
      <c r="H76" s="11">
        <v>1</v>
      </c>
      <c r="I76" s="11">
        <v>1</v>
      </c>
      <c r="J76" s="11">
        <v>1</v>
      </c>
      <c r="K76" s="11">
        <v>1</v>
      </c>
      <c r="L76" s="11">
        <v>1</v>
      </c>
      <c r="M76" s="11">
        <v>1</v>
      </c>
      <c r="N76" s="11">
        <v>1</v>
      </c>
      <c r="O76" s="11">
        <v>1</v>
      </c>
      <c r="P76" s="11">
        <v>1</v>
      </c>
      <c r="Q76" s="11">
        <v>1</v>
      </c>
      <c r="R76" s="12">
        <v>1</v>
      </c>
      <c r="S76" s="6"/>
      <c r="T76" s="6"/>
      <c r="U76" s="6"/>
    </row>
    <row r="77" spans="1:21" x14ac:dyDescent="0.2">
      <c r="A77" s="38"/>
      <c r="B77" s="11"/>
      <c r="C77" s="11"/>
      <c r="D77" s="11"/>
      <c r="E77" s="11"/>
      <c r="F77" s="11" t="s">
        <v>96</v>
      </c>
      <c r="G77" s="11">
        <f t="shared" ref="G77:R77" si="7">G66</f>
        <v>0</v>
      </c>
      <c r="H77" s="11">
        <f t="shared" si="7"/>
        <v>0</v>
      </c>
      <c r="I77" s="11">
        <f t="shared" si="7"/>
        <v>0</v>
      </c>
      <c r="J77" s="11">
        <f t="shared" si="7"/>
        <v>0</v>
      </c>
      <c r="K77" s="11">
        <f t="shared" si="7"/>
        <v>0</v>
      </c>
      <c r="L77" s="11">
        <f t="shared" si="7"/>
        <v>0</v>
      </c>
      <c r="M77" s="11">
        <f t="shared" si="7"/>
        <v>0</v>
      </c>
      <c r="N77" s="11">
        <f t="shared" si="7"/>
        <v>0</v>
      </c>
      <c r="O77" s="11">
        <f t="shared" si="7"/>
        <v>0</v>
      </c>
      <c r="P77" s="11">
        <f t="shared" si="7"/>
        <v>0</v>
      </c>
      <c r="Q77" s="11">
        <f t="shared" si="7"/>
        <v>0</v>
      </c>
      <c r="R77" s="12">
        <f t="shared" si="7"/>
        <v>0</v>
      </c>
      <c r="S77" s="91">
        <f>SUM(G77:R77)</f>
        <v>0</v>
      </c>
      <c r="T77" s="6" t="s">
        <v>162</v>
      </c>
      <c r="U77" s="6"/>
    </row>
    <row r="78" spans="1:21" x14ac:dyDescent="0.2">
      <c r="A78" s="38"/>
      <c r="B78" s="11"/>
      <c r="C78" s="11"/>
      <c r="D78" s="11"/>
      <c r="E78" s="11"/>
      <c r="F78" s="11" t="s">
        <v>98</v>
      </c>
      <c r="G78" s="11">
        <f t="shared" ref="G78:R78" si="8">G67</f>
        <v>0</v>
      </c>
      <c r="H78" s="11">
        <f t="shared" si="8"/>
        <v>0</v>
      </c>
      <c r="I78" s="11">
        <f t="shared" si="8"/>
        <v>0</v>
      </c>
      <c r="J78" s="11">
        <f t="shared" si="8"/>
        <v>0</v>
      </c>
      <c r="K78" s="11">
        <f t="shared" si="8"/>
        <v>0</v>
      </c>
      <c r="L78" s="11">
        <f t="shared" si="8"/>
        <v>0</v>
      </c>
      <c r="M78" s="11">
        <f t="shared" si="8"/>
        <v>0</v>
      </c>
      <c r="N78" s="11">
        <f t="shared" si="8"/>
        <v>0</v>
      </c>
      <c r="O78" s="11">
        <f t="shared" si="8"/>
        <v>0</v>
      </c>
      <c r="P78" s="11">
        <f t="shared" si="8"/>
        <v>0</v>
      </c>
      <c r="Q78" s="11">
        <f t="shared" si="8"/>
        <v>0</v>
      </c>
      <c r="R78" s="12">
        <f t="shared" si="8"/>
        <v>0</v>
      </c>
      <c r="S78" s="6"/>
      <c r="T78" s="6"/>
      <c r="U78" s="6"/>
    </row>
    <row r="79" spans="1:21" x14ac:dyDescent="0.2">
      <c r="A79" s="38"/>
      <c r="B79" s="11"/>
      <c r="C79" s="11"/>
      <c r="D79" s="11"/>
      <c r="E79" s="11"/>
      <c r="F79" s="11" t="s">
        <v>99</v>
      </c>
      <c r="G79" s="11">
        <f t="shared" ref="G79:R79" si="9">G68</f>
        <v>0</v>
      </c>
      <c r="H79" s="11">
        <f t="shared" si="9"/>
        <v>0</v>
      </c>
      <c r="I79" s="11">
        <f t="shared" si="9"/>
        <v>0</v>
      </c>
      <c r="J79" s="11">
        <f t="shared" si="9"/>
        <v>0</v>
      </c>
      <c r="K79" s="11">
        <f t="shared" si="9"/>
        <v>0</v>
      </c>
      <c r="L79" s="11">
        <f t="shared" si="9"/>
        <v>0</v>
      </c>
      <c r="M79" s="11">
        <f t="shared" si="9"/>
        <v>0</v>
      </c>
      <c r="N79" s="11">
        <f t="shared" si="9"/>
        <v>0</v>
      </c>
      <c r="O79" s="11">
        <f t="shared" si="9"/>
        <v>0</v>
      </c>
      <c r="P79" s="11">
        <f t="shared" si="9"/>
        <v>0</v>
      </c>
      <c r="Q79" s="11">
        <f t="shared" si="9"/>
        <v>0</v>
      </c>
      <c r="R79" s="12">
        <f t="shared" si="9"/>
        <v>0</v>
      </c>
      <c r="S79" s="6"/>
      <c r="T79" s="6"/>
      <c r="U79" s="6"/>
    </row>
    <row r="80" spans="1:21" x14ac:dyDescent="0.2">
      <c r="A80" s="38"/>
      <c r="B80" s="11"/>
      <c r="C80" s="11"/>
      <c r="D80" s="11"/>
      <c r="E80" s="11"/>
      <c r="F80" s="11"/>
      <c r="G80" s="11"/>
      <c r="H80" s="11"/>
      <c r="I80" s="11"/>
      <c r="J80" s="11"/>
      <c r="K80" s="11"/>
      <c r="L80" s="11"/>
      <c r="M80" s="11"/>
      <c r="N80" s="11"/>
      <c r="O80" s="11"/>
      <c r="P80" s="11"/>
      <c r="Q80" s="11"/>
      <c r="R80" s="12"/>
      <c r="S80" s="6"/>
      <c r="T80" s="6"/>
      <c r="U80" s="6"/>
    </row>
    <row r="81" spans="1:21" ht="30" x14ac:dyDescent="0.2">
      <c r="A81" s="38"/>
      <c r="B81" s="40" t="s">
        <v>100</v>
      </c>
      <c r="C81" s="40"/>
      <c r="D81" s="3"/>
      <c r="E81" s="3"/>
      <c r="F81" s="41" t="s">
        <v>179</v>
      </c>
      <c r="G81" s="41"/>
      <c r="H81" s="41"/>
      <c r="I81" s="41"/>
      <c r="J81" s="41"/>
      <c r="K81" s="41"/>
      <c r="L81" s="41"/>
      <c r="M81" s="41"/>
      <c r="N81" s="41"/>
      <c r="O81" s="41"/>
      <c r="P81" s="41"/>
      <c r="Q81" s="41"/>
      <c r="R81" s="42"/>
      <c r="S81" s="6"/>
      <c r="T81" s="6"/>
      <c r="U81" s="6"/>
    </row>
    <row r="82" spans="1:21" ht="30" x14ac:dyDescent="0.2">
      <c r="A82" s="38"/>
      <c r="B82" s="81" t="s">
        <v>101</v>
      </c>
      <c r="C82" s="43"/>
      <c r="D82" s="3" t="str">
        <f>D103</f>
        <v>Poor</v>
      </c>
      <c r="E82" s="3" t="s">
        <v>79</v>
      </c>
      <c r="F82" s="41" t="s">
        <v>35</v>
      </c>
      <c r="G82" s="41"/>
      <c r="H82" s="41"/>
      <c r="I82" s="41"/>
      <c r="J82" s="41"/>
      <c r="K82" s="41"/>
      <c r="L82" s="41"/>
      <c r="M82" s="41"/>
      <c r="N82" s="41"/>
      <c r="O82" s="41"/>
      <c r="P82" s="41"/>
      <c r="Q82" s="41"/>
      <c r="R82" s="42"/>
      <c r="S82" s="6"/>
      <c r="T82" s="6"/>
      <c r="U82" s="6"/>
    </row>
    <row r="83" spans="1:21" ht="45" x14ac:dyDescent="0.2">
      <c r="A83" s="38"/>
      <c r="B83" s="44" t="s">
        <v>103</v>
      </c>
      <c r="C83" s="44"/>
      <c r="D83" s="3"/>
      <c r="E83" s="3" t="s">
        <v>61</v>
      </c>
      <c r="F83" s="41" t="s">
        <v>48</v>
      </c>
      <c r="G83" s="41"/>
      <c r="H83" s="41"/>
      <c r="I83" s="41"/>
      <c r="J83" s="41"/>
      <c r="K83" s="41"/>
      <c r="L83" s="41"/>
      <c r="M83" s="41"/>
      <c r="N83" s="41"/>
      <c r="O83" s="41"/>
      <c r="P83" s="41"/>
      <c r="Q83" s="41"/>
      <c r="R83" s="42"/>
      <c r="S83" s="6"/>
      <c r="T83" s="6"/>
      <c r="U83" s="6"/>
    </row>
    <row r="84" spans="1:21" ht="45" x14ac:dyDescent="0.2">
      <c r="A84" s="38" t="str">
        <f>""</f>
        <v/>
      </c>
      <c r="B84" s="81" t="s">
        <v>102</v>
      </c>
      <c r="C84" s="44"/>
      <c r="D84" s="3" t="str">
        <f>D103</f>
        <v>Poor</v>
      </c>
      <c r="E84" s="3" t="s">
        <v>80</v>
      </c>
      <c r="F84" s="41" t="s">
        <v>47</v>
      </c>
      <c r="G84" s="41"/>
      <c r="H84" s="41"/>
      <c r="I84" s="41"/>
      <c r="J84" s="41"/>
      <c r="K84" s="41"/>
      <c r="L84" s="41"/>
      <c r="M84" s="41"/>
      <c r="N84" s="41"/>
      <c r="O84" s="41"/>
      <c r="P84" s="41"/>
      <c r="Q84" s="41"/>
      <c r="R84" s="42"/>
      <c r="S84" s="6"/>
      <c r="T84" s="6"/>
      <c r="U84" s="6"/>
    </row>
    <row r="85" spans="1:21" ht="45" x14ac:dyDescent="0.2">
      <c r="A85" s="38"/>
      <c r="B85" s="81" t="s">
        <v>104</v>
      </c>
      <c r="C85" s="44"/>
      <c r="D85" s="3" t="str">
        <f>D103</f>
        <v>Poor</v>
      </c>
      <c r="E85" s="3" t="s">
        <v>81</v>
      </c>
      <c r="F85" s="41" t="s">
        <v>52</v>
      </c>
      <c r="G85" s="41"/>
      <c r="H85" s="41"/>
      <c r="I85" s="41"/>
      <c r="J85" s="41"/>
      <c r="K85" s="41"/>
      <c r="L85" s="41"/>
      <c r="M85" s="41"/>
      <c r="N85" s="41"/>
      <c r="O85" s="41"/>
      <c r="P85" s="41"/>
      <c r="Q85" s="41"/>
      <c r="R85" s="42"/>
      <c r="S85" s="6"/>
      <c r="T85" s="6"/>
      <c r="U85" s="6"/>
    </row>
    <row r="86" spans="1:21" ht="45" x14ac:dyDescent="0.2">
      <c r="A86" s="38"/>
      <c r="B86" s="45" t="s">
        <v>105</v>
      </c>
      <c r="C86" s="44"/>
      <c r="D86" s="3" t="str">
        <f>D102</f>
        <v>Fair-Poor</v>
      </c>
      <c r="E86" s="3" t="s">
        <v>82</v>
      </c>
      <c r="F86" s="41" t="s">
        <v>49</v>
      </c>
      <c r="G86" s="41"/>
      <c r="H86" s="41"/>
      <c r="I86" s="41"/>
      <c r="J86" s="41"/>
      <c r="K86" s="41"/>
      <c r="L86" s="41"/>
      <c r="M86" s="41"/>
      <c r="N86" s="41"/>
      <c r="O86" s="41"/>
      <c r="P86" s="41"/>
      <c r="Q86" s="41"/>
      <c r="R86" s="42"/>
      <c r="S86" s="6"/>
      <c r="T86" s="6"/>
      <c r="U86" s="6"/>
    </row>
    <row r="87" spans="1:21" ht="45" x14ac:dyDescent="0.2">
      <c r="A87" s="38"/>
      <c r="B87" s="46" t="s">
        <v>106</v>
      </c>
      <c r="C87" s="44"/>
      <c r="D87" s="3" t="str">
        <f>D101</f>
        <v>Fair</v>
      </c>
      <c r="E87" s="3" t="s">
        <v>82</v>
      </c>
      <c r="F87" s="41" t="s">
        <v>49</v>
      </c>
      <c r="G87" s="41"/>
      <c r="H87" s="41"/>
      <c r="I87" s="41"/>
      <c r="J87" s="41"/>
      <c r="K87" s="41"/>
      <c r="L87" s="41"/>
      <c r="M87" s="41"/>
      <c r="N87" s="41"/>
      <c r="O87" s="41"/>
      <c r="P87" s="41"/>
      <c r="Q87" s="41"/>
      <c r="R87" s="42"/>
      <c r="S87" s="6"/>
      <c r="T87" s="6"/>
      <c r="U87" s="6"/>
    </row>
    <row r="88" spans="1:21" ht="60" x14ac:dyDescent="0.2">
      <c r="A88" s="38"/>
      <c r="B88" s="45" t="s">
        <v>107</v>
      </c>
      <c r="C88" s="44"/>
      <c r="D88" s="3" t="str">
        <f>D102</f>
        <v>Fair-Poor</v>
      </c>
      <c r="E88" s="3" t="s">
        <v>78</v>
      </c>
      <c r="F88" s="41" t="s">
        <v>53</v>
      </c>
      <c r="G88" s="41"/>
      <c r="H88" s="41"/>
      <c r="I88" s="41"/>
      <c r="J88" s="41"/>
      <c r="K88" s="41"/>
      <c r="L88" s="41"/>
      <c r="M88" s="41"/>
      <c r="N88" s="41"/>
      <c r="O88" s="41"/>
      <c r="P88" s="41"/>
      <c r="Q88" s="41"/>
      <c r="R88" s="42"/>
      <c r="S88" s="6"/>
      <c r="T88" s="6"/>
      <c r="U88" s="6"/>
    </row>
    <row r="89" spans="1:21" ht="45" x14ac:dyDescent="0.2">
      <c r="A89" s="38"/>
      <c r="B89" s="47" t="s">
        <v>108</v>
      </c>
      <c r="C89" s="44"/>
      <c r="D89" s="3" t="str">
        <f>D100</f>
        <v>Good-Fair</v>
      </c>
      <c r="E89" s="3" t="s">
        <v>83</v>
      </c>
      <c r="F89" s="41" t="s">
        <v>46</v>
      </c>
      <c r="G89" s="41"/>
      <c r="H89" s="41"/>
      <c r="I89" s="48"/>
      <c r="J89" s="41"/>
      <c r="K89" s="41"/>
      <c r="L89" s="41"/>
      <c r="M89" s="41"/>
      <c r="N89" s="41"/>
      <c r="O89" s="41"/>
      <c r="P89" s="41"/>
      <c r="Q89" s="41"/>
      <c r="R89" s="42"/>
      <c r="S89" s="6"/>
      <c r="T89" s="6"/>
      <c r="U89" s="6"/>
    </row>
    <row r="90" spans="1:21" ht="45" x14ac:dyDescent="0.2">
      <c r="A90" s="38"/>
      <c r="B90" s="80" t="s">
        <v>109</v>
      </c>
      <c r="C90" s="44"/>
      <c r="D90" s="3" t="str">
        <f>D99</f>
        <v>Good</v>
      </c>
      <c r="E90" s="3" t="s">
        <v>83</v>
      </c>
      <c r="F90" s="41" t="s">
        <v>46</v>
      </c>
      <c r="G90" s="41"/>
      <c r="H90" s="41"/>
      <c r="I90" s="41"/>
      <c r="J90" s="41"/>
      <c r="K90" s="41"/>
      <c r="L90" s="41"/>
      <c r="M90" s="41"/>
      <c r="N90" s="41"/>
      <c r="O90" s="41"/>
      <c r="P90" s="41"/>
      <c r="Q90" s="41"/>
      <c r="R90" s="42"/>
      <c r="S90" s="6"/>
      <c r="T90" s="6"/>
      <c r="U90" s="6"/>
    </row>
    <row r="91" spans="1:21" ht="45" x14ac:dyDescent="0.2">
      <c r="A91" s="38"/>
      <c r="B91" s="80" t="s">
        <v>110</v>
      </c>
      <c r="C91" s="44"/>
      <c r="D91" s="3" t="str">
        <f>D99</f>
        <v>Good</v>
      </c>
      <c r="E91" s="3" t="s">
        <v>83</v>
      </c>
      <c r="F91" s="41" t="s">
        <v>46</v>
      </c>
      <c r="G91" s="41"/>
      <c r="H91" s="41"/>
      <c r="I91" s="41"/>
      <c r="J91" s="41"/>
      <c r="K91" s="41"/>
      <c r="L91" s="41"/>
      <c r="M91" s="41"/>
      <c r="N91" s="41"/>
      <c r="O91" s="41"/>
      <c r="P91" s="41"/>
      <c r="Q91" s="41"/>
      <c r="R91" s="42"/>
      <c r="S91" s="6"/>
      <c r="T91" s="6"/>
      <c r="U91" s="6"/>
    </row>
    <row r="92" spans="1:21" ht="45" x14ac:dyDescent="0.2">
      <c r="A92" s="38"/>
      <c r="B92" s="49" t="s">
        <v>111</v>
      </c>
      <c r="C92" s="79"/>
      <c r="D92" s="3" t="str">
        <f>D100</f>
        <v>Good-Fair</v>
      </c>
      <c r="E92" s="3" t="s">
        <v>78</v>
      </c>
      <c r="F92" s="41" t="s">
        <v>50</v>
      </c>
      <c r="G92" s="41"/>
      <c r="H92" s="41"/>
      <c r="I92" s="41"/>
      <c r="J92" s="41"/>
      <c r="K92" s="41"/>
      <c r="L92" s="41"/>
      <c r="M92" s="41"/>
      <c r="N92" s="41"/>
      <c r="O92" s="41"/>
      <c r="P92" s="41"/>
      <c r="Q92" s="41"/>
      <c r="R92" s="42"/>
      <c r="S92" s="6"/>
      <c r="T92" s="6"/>
      <c r="U92" s="6"/>
    </row>
    <row r="93" spans="1:21" x14ac:dyDescent="0.2">
      <c r="A93" s="38"/>
      <c r="B93" s="14"/>
      <c r="C93" s="14"/>
      <c r="D93" s="14"/>
      <c r="E93" s="14"/>
      <c r="F93" s="14"/>
      <c r="G93" s="41">
        <f>IF($B$95=0,"",IF(G78=0,$D83,IF(G78=1,$D84,IF(G76=1,IF(G77=1,
IF(G78=0,$D83,
IF(G78=2,IF(G79=0,$D88,IF(G79=1,$D87,IF(G79=2,$D86,IF(G79=3,$D85,"2-")))),
IF(G78=3,IF(G79=0,$D92,IF(G79=1,$D91,IF(G79=2,$D90,IF(G79=3,$D89,"3-")))),"F-"))),$D82),$D81))))</f>
        <v>0</v>
      </c>
      <c r="H93" s="41">
        <f t="shared" ref="H93:R93" si="10">IF($B$95=0,"",IF(H78=0,$D83,IF(H78=1,$D84,IF(H76=1,IF(H77=1,
IF(H78=0,$D83,
IF(H78=2,IF(H79=0,$D88,IF(H79=1,$D87,IF(H79=2,$D86,IF(H79=3,$D85,"2-")))),
IF(H78=3,IF(H79=0,$D92,IF(H79=1,$D91,IF(H79=2,$D90,IF(H79=3,$D89,"3-")))),"F-"))),$D82),$D81))))</f>
        <v>0</v>
      </c>
      <c r="I93" s="41">
        <f t="shared" si="10"/>
        <v>0</v>
      </c>
      <c r="J93" s="41">
        <f t="shared" si="10"/>
        <v>0</v>
      </c>
      <c r="K93" s="41">
        <f t="shared" si="10"/>
        <v>0</v>
      </c>
      <c r="L93" s="41">
        <f t="shared" si="10"/>
        <v>0</v>
      </c>
      <c r="M93" s="41">
        <f t="shared" si="10"/>
        <v>0</v>
      </c>
      <c r="N93" s="41">
        <f t="shared" si="10"/>
        <v>0</v>
      </c>
      <c r="O93" s="41">
        <f t="shared" si="10"/>
        <v>0</v>
      </c>
      <c r="P93" s="41">
        <f t="shared" si="10"/>
        <v>0</v>
      </c>
      <c r="Q93" s="41">
        <f t="shared" si="10"/>
        <v>0</v>
      </c>
      <c r="R93" s="42">
        <f t="shared" si="10"/>
        <v>0</v>
      </c>
      <c r="S93" s="6"/>
      <c r="T93" s="6"/>
      <c r="U93" s="6"/>
    </row>
    <row r="94" spans="1:21" x14ac:dyDescent="0.2">
      <c r="A94" s="38"/>
      <c r="B94" s="14" t="s">
        <v>93</v>
      </c>
      <c r="C94" s="14"/>
      <c r="D94" s="14"/>
      <c r="E94" s="14"/>
      <c r="F94" s="14"/>
      <c r="G94" s="41" t="str">
        <f>IF($B$95=0,0,IF(G78=0,$E83, IF(G78=1,$E84,IF(G76=1,IF(G77=1,
IF(G78=0,$E83,
IF(G78=2,IF(G79=0,$E88,IF(G79=1,$E87,IF(G79=2,$E86,IF(G79=3,$E85,"2-")))),
IF(G78=3,IF(G79=0,$E92,IF(G79=1,$E91,IF(G79=2,$E90,IF(G79=3,$E89,"3-")))),"F-"))),$E82),$E81))))</f>
        <v>Enter humidity</v>
      </c>
      <c r="H94" s="41" t="str">
        <f t="shared" ref="H94:R94" si="11">IF($B$95=0,0,IF(H78=0,$E83, IF(H78=1,$E84,IF(H76=1,IF(H77=1,
IF(H78=0,$E83,
IF(H78=2,IF(H79=0,$E88,IF(H79=1,$E87,IF(H79=2,$E86,IF(H79=3,$E85,"2-")))),
IF(H78=3,IF(H79=0,$E92,IF(H79=1,$E91,IF(H79=2,$E90,IF(H79=3,$E89,"3-")))),"F-"))),$E82),$E81))))</f>
        <v>Enter humidity</v>
      </c>
      <c r="I94" s="41" t="str">
        <f t="shared" si="11"/>
        <v>Enter humidity</v>
      </c>
      <c r="J94" s="41" t="str">
        <f t="shared" si="11"/>
        <v>Enter humidity</v>
      </c>
      <c r="K94" s="41" t="str">
        <f t="shared" si="11"/>
        <v>Enter humidity</v>
      </c>
      <c r="L94" s="41" t="str">
        <f t="shared" si="11"/>
        <v>Enter humidity</v>
      </c>
      <c r="M94" s="41" t="str">
        <f t="shared" si="11"/>
        <v>Enter humidity</v>
      </c>
      <c r="N94" s="41" t="str">
        <f t="shared" si="11"/>
        <v>Enter humidity</v>
      </c>
      <c r="O94" s="41" t="str">
        <f t="shared" si="11"/>
        <v>Enter humidity</v>
      </c>
      <c r="P94" s="41" t="str">
        <f t="shared" si="11"/>
        <v>Enter humidity</v>
      </c>
      <c r="Q94" s="41" t="str">
        <f t="shared" si="11"/>
        <v>Enter humidity</v>
      </c>
      <c r="R94" s="42" t="str">
        <f t="shared" si="11"/>
        <v>Enter humidity</v>
      </c>
      <c r="S94" s="6"/>
      <c r="T94" s="6"/>
      <c r="U94" s="6"/>
    </row>
    <row r="95" spans="1:21" x14ac:dyDescent="0.2">
      <c r="A95" s="38"/>
      <c r="B95" s="50">
        <v>1</v>
      </c>
      <c r="C95" s="41"/>
      <c r="D95" s="51" t="s">
        <v>37</v>
      </c>
      <c r="E95" s="52"/>
      <c r="F95" s="52"/>
      <c r="G95" s="53" t="str">
        <f>IF($B$95=0,"",IF(G78=1,""&amp;$D84&amp;" "&amp;G75&amp;"",IF(G76=1,IF(G77=1,
IF(G78=0,""&amp;$D83&amp;" "&amp;G75&amp;"",
IF(G78=2,IF(G79=0,$D88,IF(G79=1,""&amp;$D87&amp;" "&amp;G75&amp;"",IF(G79=2,""&amp;$D86&amp;" "&amp;G75&amp;"",IF(G79=3,""&amp;$D85&amp;" "&amp;G75&amp;"","2-")))),
IF(G78=3,IF(G79=0,$D92,IF(G79=1,""&amp;$D91&amp;" "&amp;G75&amp;"",IF(G79=2,""&amp;$D90&amp;" "&amp;G75&amp;"",IF(G79=3,""&amp;$D89&amp;" "&amp;G75&amp;"","3-")))),"F-"))),$D82),""&amp;$D81&amp;" "&amp;G75&amp;"")))</f>
        <v>Poor</v>
      </c>
      <c r="H95" s="53" t="str">
        <f t="shared" ref="H95:R95" si="12">IF($B$95=0,"",IF(H78=1,""&amp;$D84&amp;" "&amp;H75&amp;"",IF(H76=1,IF(H77=1,
IF(H78=0,""&amp;$D83&amp;" "&amp;H75&amp;"",
IF(H78=2,IF(H79=0,$D88,IF(H79=1,""&amp;$D87&amp;" "&amp;H75&amp;"",IF(H79=2,""&amp;$D86&amp;" "&amp;H75&amp;"",IF(H79=3,""&amp;$D85&amp;" "&amp;H75&amp;"","2-")))),
IF(H78=3,IF(H79=0,$D92,IF(H79=1,""&amp;$D91&amp;" "&amp;H75&amp;"",IF(H79=2,""&amp;$D90&amp;" "&amp;H75&amp;"",IF(H79=3,""&amp;$D89&amp;" "&amp;H75&amp;"","3-")))),"F-"))),$D82),""&amp;$D81&amp;" "&amp;H75&amp;"")))</f>
        <v>Poor</v>
      </c>
      <c r="I95" s="53" t="str">
        <f t="shared" si="12"/>
        <v>Poor</v>
      </c>
      <c r="J95" s="53" t="str">
        <f t="shared" si="12"/>
        <v>Poor</v>
      </c>
      <c r="K95" s="53" t="str">
        <f t="shared" si="12"/>
        <v>Poor</v>
      </c>
      <c r="L95" s="53" t="str">
        <f t="shared" si="12"/>
        <v>Poor</v>
      </c>
      <c r="M95" s="53" t="str">
        <f t="shared" si="12"/>
        <v>Poor</v>
      </c>
      <c r="N95" s="53" t="str">
        <f t="shared" si="12"/>
        <v>Poor</v>
      </c>
      <c r="O95" s="53" t="str">
        <f t="shared" si="12"/>
        <v>Poor</v>
      </c>
      <c r="P95" s="53" t="str">
        <f t="shared" si="12"/>
        <v>Poor</v>
      </c>
      <c r="Q95" s="53" t="str">
        <f t="shared" si="12"/>
        <v>Poor</v>
      </c>
      <c r="R95" s="54" t="str">
        <f t="shared" si="12"/>
        <v>Poor</v>
      </c>
      <c r="S95" s="6"/>
      <c r="T95" s="6"/>
      <c r="U95" s="6"/>
    </row>
    <row r="96" spans="1:21" x14ac:dyDescent="0.2">
      <c r="A96" s="38"/>
      <c r="B96" s="11"/>
      <c r="C96" s="11"/>
      <c r="D96" s="11"/>
      <c r="E96" s="11"/>
      <c r="F96" s="11"/>
      <c r="G96" s="11"/>
      <c r="H96" s="11"/>
      <c r="I96" s="11"/>
      <c r="J96" s="11"/>
      <c r="K96" s="11"/>
      <c r="L96" s="11"/>
      <c r="M96" s="11"/>
      <c r="N96" s="11"/>
      <c r="O96" s="11"/>
      <c r="P96" s="11"/>
      <c r="Q96" s="11"/>
      <c r="R96" s="12"/>
      <c r="S96" s="6"/>
      <c r="T96" s="6"/>
      <c r="U96" s="6"/>
    </row>
    <row r="97" spans="1:77" x14ac:dyDescent="0.2">
      <c r="A97" s="38"/>
      <c r="B97" s="11"/>
      <c r="C97" s="11"/>
      <c r="D97" s="11"/>
      <c r="E97" s="11"/>
      <c r="F97" s="11"/>
      <c r="G97" s="11">
        <f>IF(G78=0, 0, IF(G93=$D99, $C99, IF(G93=$D100, $C100,IF(G93=$D101,$C101, IF(G93=$D102, $C102, IF(G93=$D103, $C103, IF(G93=$D104, $C104, IF(G93=$D87, $A87, IF(G93=$D88, $A88, IF(G93=$D89, $A89, IF(G93=$D90, $A90, IF(G93=$D91, $A91, IF(G93=$D92, $A92, "??")))))))))))))</f>
        <v>0</v>
      </c>
      <c r="H97" s="11">
        <f t="shared" ref="H97:R97" si="13">IF(H78=0, 0, IF(H93=$D99, $C99, IF(H93=$D100, $C100,IF(H93=$D101,$C101, IF(H93=$D102, $C102, IF(H93=$D103, $C103, IF(H93=$D104, $A104, IF(H93=$D87, $A87, IF(H93=$D88, $A88, IF(H93=$D89, $A89, IF(H93=$D90, $A90, IF(H93=$D91, $A91, IF(H93=$D92, $A92, "??")))))))))))))</f>
        <v>0</v>
      </c>
      <c r="I97" s="11">
        <f t="shared" si="13"/>
        <v>0</v>
      </c>
      <c r="J97" s="11">
        <f t="shared" si="13"/>
        <v>0</v>
      </c>
      <c r="K97" s="11">
        <f t="shared" si="13"/>
        <v>0</v>
      </c>
      <c r="L97" s="11">
        <f t="shared" si="13"/>
        <v>0</v>
      </c>
      <c r="M97" s="11">
        <f t="shared" si="13"/>
        <v>0</v>
      </c>
      <c r="N97" s="11">
        <f t="shared" si="13"/>
        <v>0</v>
      </c>
      <c r="O97" s="11">
        <f t="shared" si="13"/>
        <v>0</v>
      </c>
      <c r="P97" s="11">
        <f t="shared" si="13"/>
        <v>0</v>
      </c>
      <c r="Q97" s="11">
        <f t="shared" si="13"/>
        <v>0</v>
      </c>
      <c r="R97" s="12">
        <f t="shared" si="13"/>
        <v>0</v>
      </c>
      <c r="S97" s="6"/>
      <c r="T97" s="6"/>
      <c r="U97" s="6"/>
    </row>
    <row r="98" spans="1:77" x14ac:dyDescent="0.2">
      <c r="A98" s="38"/>
      <c r="B98" s="11"/>
      <c r="C98" s="11"/>
      <c r="D98" s="11"/>
      <c r="E98" s="11"/>
      <c r="F98" s="11"/>
      <c r="G98" s="11"/>
      <c r="H98" s="11"/>
      <c r="I98" s="11"/>
      <c r="J98" s="11"/>
      <c r="K98" s="11"/>
      <c r="L98" s="11"/>
      <c r="M98" s="11"/>
      <c r="N98" s="11"/>
      <c r="O98" s="11"/>
      <c r="P98" s="11"/>
      <c r="Q98" s="11"/>
      <c r="R98" s="12"/>
      <c r="S98" s="6"/>
      <c r="T98" s="6"/>
      <c r="U98" s="6"/>
    </row>
    <row r="99" spans="1:77" x14ac:dyDescent="0.2">
      <c r="A99" s="38"/>
      <c r="B99" s="11"/>
      <c r="C99" s="55">
        <v>1</v>
      </c>
      <c r="D99" s="13" t="s">
        <v>76</v>
      </c>
      <c r="E99" s="78" t="s">
        <v>120</v>
      </c>
      <c r="F99" s="11">
        <f>COUNTIF($G$93:$R$93, $D99)</f>
        <v>0</v>
      </c>
      <c r="G99" s="11"/>
      <c r="H99" s="11"/>
      <c r="I99" s="11"/>
      <c r="J99" s="11"/>
      <c r="K99" s="11"/>
      <c r="L99" s="11"/>
      <c r="M99" s="11"/>
      <c r="N99" s="11"/>
      <c r="O99" s="11"/>
      <c r="P99" s="11"/>
      <c r="Q99" s="11"/>
      <c r="R99" s="12"/>
      <c r="S99" s="6"/>
      <c r="T99" s="6"/>
      <c r="U99" s="6"/>
    </row>
    <row r="100" spans="1:77" x14ac:dyDescent="0.2">
      <c r="A100" s="38"/>
      <c r="B100" s="11"/>
      <c r="C100" s="55">
        <v>0.75</v>
      </c>
      <c r="D100" s="13" t="s">
        <v>77</v>
      </c>
      <c r="E100" s="78" t="s">
        <v>121</v>
      </c>
      <c r="F100" s="11">
        <f t="shared" ref="F100:F103" si="14">COUNTIF($G$93:$R$93, $D100)</f>
        <v>0</v>
      </c>
      <c r="G100" s="11"/>
      <c r="H100" s="11"/>
      <c r="I100" s="11"/>
      <c r="J100" s="11"/>
      <c r="K100" s="11"/>
      <c r="L100" s="11"/>
      <c r="M100" s="11"/>
      <c r="N100" s="11"/>
      <c r="O100" s="11"/>
      <c r="P100" s="11"/>
      <c r="Q100" s="11"/>
      <c r="R100" s="12"/>
      <c r="S100" s="6"/>
      <c r="T100" s="6"/>
      <c r="U100" s="6"/>
    </row>
    <row r="101" spans="1:77" x14ac:dyDescent="0.2">
      <c r="A101" s="38"/>
      <c r="B101" s="11"/>
      <c r="C101" s="55">
        <v>0.5</v>
      </c>
      <c r="D101" s="13" t="s">
        <v>75</v>
      </c>
      <c r="E101" s="78" t="s">
        <v>122</v>
      </c>
      <c r="F101" s="11">
        <f t="shared" si="14"/>
        <v>0</v>
      </c>
      <c r="G101" s="11"/>
      <c r="H101" s="11"/>
      <c r="I101" s="11"/>
      <c r="J101" s="11"/>
      <c r="K101" s="11"/>
      <c r="L101" s="11"/>
      <c r="M101" s="11"/>
      <c r="N101" s="11"/>
      <c r="O101" s="11"/>
      <c r="P101" s="11"/>
      <c r="Q101" s="11"/>
      <c r="R101" s="12"/>
      <c r="S101" s="6"/>
      <c r="T101" s="6"/>
      <c r="U101" s="6"/>
    </row>
    <row r="102" spans="1:77" x14ac:dyDescent="0.2">
      <c r="A102" s="38"/>
      <c r="B102" s="11"/>
      <c r="C102" s="55">
        <v>0.25</v>
      </c>
      <c r="D102" s="13" t="s">
        <v>74</v>
      </c>
      <c r="E102" s="78" t="s">
        <v>123</v>
      </c>
      <c r="F102" s="11">
        <f t="shared" si="14"/>
        <v>0</v>
      </c>
      <c r="G102" s="11"/>
      <c r="H102" s="11"/>
      <c r="I102" s="11"/>
      <c r="J102" s="11"/>
      <c r="K102" s="11"/>
      <c r="L102" s="11"/>
      <c r="M102" s="11"/>
      <c r="N102" s="11"/>
      <c r="O102" s="11"/>
      <c r="P102" s="11"/>
      <c r="Q102" s="11"/>
      <c r="R102" s="12"/>
      <c r="S102" s="6"/>
      <c r="T102" s="6"/>
      <c r="U102" s="6"/>
    </row>
    <row r="103" spans="1:77" x14ac:dyDescent="0.2">
      <c r="A103" s="38"/>
      <c r="B103" s="11"/>
      <c r="C103" s="55">
        <v>0</v>
      </c>
      <c r="D103" s="13" t="s">
        <v>73</v>
      </c>
      <c r="E103" s="78" t="s">
        <v>124</v>
      </c>
      <c r="F103" s="11">
        <f t="shared" si="14"/>
        <v>0</v>
      </c>
      <c r="G103" s="11"/>
      <c r="H103" s="11"/>
      <c r="I103" s="11"/>
      <c r="J103" s="11"/>
      <c r="K103" s="11"/>
      <c r="L103" s="11"/>
      <c r="M103" s="11"/>
      <c r="N103" s="11"/>
      <c r="O103" s="11"/>
      <c r="P103" s="11"/>
      <c r="Q103" s="11"/>
      <c r="R103" s="12"/>
      <c r="S103" s="6"/>
      <c r="T103" s="6"/>
      <c r="U103" s="6"/>
    </row>
    <row r="104" spans="1:77" x14ac:dyDescent="0.2">
      <c r="A104" s="56"/>
      <c r="B104" s="57"/>
      <c r="C104" s="57" t="s">
        <v>112</v>
      </c>
      <c r="D104" s="57" t="s">
        <v>113</v>
      </c>
      <c r="E104" s="57"/>
      <c r="F104" s="57"/>
      <c r="G104" s="57"/>
      <c r="H104" s="57"/>
      <c r="I104" s="57"/>
      <c r="J104" s="57"/>
      <c r="K104" s="57"/>
      <c r="L104" s="57"/>
      <c r="M104" s="57"/>
      <c r="N104" s="57"/>
      <c r="O104" s="57"/>
      <c r="P104" s="57"/>
      <c r="Q104" s="57"/>
      <c r="R104" s="58"/>
      <c r="S104" s="6"/>
      <c r="T104" s="6"/>
      <c r="U104" s="6"/>
    </row>
    <row r="105" spans="1:77" x14ac:dyDescent="0.2">
      <c r="A105" s="6"/>
      <c r="B105" s="6"/>
      <c r="C105" s="6"/>
      <c r="D105" s="6"/>
      <c r="E105" s="6"/>
      <c r="F105" s="6"/>
      <c r="G105" s="6"/>
      <c r="H105" s="6"/>
      <c r="I105" s="6"/>
      <c r="J105" s="6"/>
      <c r="L105" s="6"/>
      <c r="M105" s="6"/>
      <c r="N105" s="6"/>
      <c r="O105" s="6"/>
      <c r="P105" s="6"/>
      <c r="Q105" s="6"/>
      <c r="R105" s="6"/>
      <c r="S105" s="6"/>
      <c r="T105" s="6"/>
      <c r="U105" s="6"/>
    </row>
    <row r="106" spans="1:77" ht="192" x14ac:dyDescent="0.2">
      <c r="A106" s="6"/>
      <c r="B106" s="6"/>
      <c r="C106" s="6"/>
      <c r="E106" s="6"/>
      <c r="BX106" s="15" t="s">
        <v>51</v>
      </c>
      <c r="BY106" s="15"/>
    </row>
    <row r="107" spans="1:77" x14ac:dyDescent="0.2">
      <c r="A107" s="6"/>
      <c r="B107" s="6"/>
      <c r="C107" s="6"/>
      <c r="D107" s="6"/>
      <c r="E107" s="6"/>
      <c r="M107" s="6"/>
      <c r="N107" s="6"/>
      <c r="O107" s="6"/>
      <c r="P107" s="6"/>
      <c r="Q107" s="6"/>
      <c r="R107" s="6"/>
      <c r="S107" s="6"/>
      <c r="T107" s="6"/>
      <c r="U107" s="6"/>
    </row>
    <row r="108" spans="1:77" ht="96" x14ac:dyDescent="0.2">
      <c r="A108" s="6"/>
      <c r="B108" s="6"/>
      <c r="C108" s="6"/>
      <c r="D108" s="6"/>
      <c r="E108" s="6"/>
      <c r="M108" s="6" t="s">
        <v>116</v>
      </c>
      <c r="N108" s="59" t="s">
        <v>179</v>
      </c>
      <c r="O108" s="59" t="s">
        <v>35</v>
      </c>
      <c r="P108" s="59" t="s">
        <v>48</v>
      </c>
      <c r="Q108" s="59" t="s">
        <v>47</v>
      </c>
      <c r="R108" s="59" t="s">
        <v>52</v>
      </c>
      <c r="S108" s="59" t="s">
        <v>49</v>
      </c>
      <c r="T108" s="59" t="s">
        <v>49</v>
      </c>
      <c r="U108" s="59" t="s">
        <v>53</v>
      </c>
      <c r="V108" s="59" t="s">
        <v>46</v>
      </c>
      <c r="W108" s="59" t="s">
        <v>46</v>
      </c>
      <c r="X108" s="59" t="s">
        <v>46</v>
      </c>
      <c r="Y108" s="59" t="s">
        <v>50</v>
      </c>
      <c r="Z108" s="60" t="s">
        <v>115</v>
      </c>
      <c r="AD108" s="16" t="s">
        <v>41</v>
      </c>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row>
    <row r="109" spans="1:77" x14ac:dyDescent="0.2">
      <c r="A109" s="6"/>
      <c r="B109" s="6"/>
      <c r="C109" s="6"/>
      <c r="D109" s="6"/>
      <c r="E109" s="6"/>
      <c r="M109" s="6"/>
      <c r="N109" s="6"/>
      <c r="O109" s="6"/>
      <c r="P109" s="6"/>
      <c r="Q109" s="6"/>
      <c r="R109" s="6"/>
      <c r="S109" s="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row>
    <row r="110" spans="1:77" x14ac:dyDescent="0.2">
      <c r="A110" s="6"/>
      <c r="B110" s="6"/>
      <c r="C110" s="6"/>
      <c r="D110" s="6"/>
      <c r="E110" s="6"/>
      <c r="M110" s="6"/>
      <c r="N110" s="6"/>
      <c r="O110" s="6"/>
      <c r="P110" s="6"/>
      <c r="Q110" s="6"/>
      <c r="R110" s="6"/>
      <c r="S110" s="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row>
    <row r="111" spans="1:77" x14ac:dyDescent="0.2">
      <c r="A111" s="6"/>
      <c r="B111" s="6"/>
      <c r="C111" s="6"/>
      <c r="D111" s="6"/>
      <c r="E111" s="6"/>
      <c r="M111" s="6"/>
      <c r="N111" s="6"/>
      <c r="O111" s="6"/>
      <c r="P111" s="6"/>
      <c r="Q111" s="6"/>
      <c r="R111" s="6"/>
      <c r="S111" s="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row>
    <row r="112" spans="1:77" ht="32" x14ac:dyDescent="0.2">
      <c r="A112" s="6"/>
      <c r="B112" s="6"/>
      <c r="C112" s="6"/>
      <c r="D112" s="6"/>
      <c r="E112" s="6"/>
      <c r="M112" s="6"/>
      <c r="N112" s="6"/>
      <c r="O112" s="6" t="s">
        <v>114</v>
      </c>
      <c r="P112" s="6"/>
      <c r="Q112" s="6"/>
      <c r="R112" s="6"/>
      <c r="S112" s="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row>
    <row r="113" spans="1:77" x14ac:dyDescent="0.2">
      <c r="A113" s="6"/>
      <c r="B113" s="6"/>
      <c r="C113" s="6"/>
      <c r="D113" s="6"/>
      <c r="E113" s="6"/>
      <c r="M113" s="6"/>
      <c r="N113" s="30">
        <f>D81</f>
        <v>0</v>
      </c>
      <c r="O113" s="16" t="str">
        <f>D82</f>
        <v>Poor</v>
      </c>
      <c r="P113" s="30">
        <f>D83</f>
        <v>0</v>
      </c>
      <c r="Q113" s="30" t="str">
        <f>D84</f>
        <v>Poor</v>
      </c>
      <c r="R113" s="30" t="str">
        <f>D85</f>
        <v>Poor</v>
      </c>
      <c r="S113" s="30" t="str">
        <f>D86</f>
        <v>Fair-Poor</v>
      </c>
      <c r="T113" s="16" t="str">
        <f>D87</f>
        <v>Fair</v>
      </c>
      <c r="U113" s="16" t="str">
        <f>D88</f>
        <v>Fair-Poor</v>
      </c>
      <c r="V113" s="16" t="str">
        <f>D89</f>
        <v>Good-Fair</v>
      </c>
      <c r="W113" s="16" t="str">
        <f>D90</f>
        <v>Good</v>
      </c>
      <c r="X113" s="16" t="str">
        <f>D91</f>
        <v>Good</v>
      </c>
      <c r="Y113" s="16" t="str">
        <f>D92</f>
        <v>Good-Fair</v>
      </c>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row>
    <row r="114" spans="1:77" x14ac:dyDescent="0.2">
      <c r="A114" s="6"/>
      <c r="B114" s="6"/>
      <c r="C114" s="6"/>
      <c r="D114" s="6"/>
      <c r="E114" s="6"/>
      <c r="M114" s="6"/>
      <c r="N114" s="61" t="s">
        <v>100</v>
      </c>
      <c r="O114" s="36" t="s">
        <v>101</v>
      </c>
      <c r="P114" s="22" t="s">
        <v>103</v>
      </c>
      <c r="Q114" s="62" t="s">
        <v>102</v>
      </c>
      <c r="R114" s="6" t="s">
        <v>104</v>
      </c>
      <c r="S114" s="63" t="s">
        <v>105</v>
      </c>
      <c r="T114" s="63" t="s">
        <v>106</v>
      </c>
      <c r="U114" s="6" t="s">
        <v>107</v>
      </c>
      <c r="V114" s="64" t="s">
        <v>108</v>
      </c>
      <c r="W114" s="64" t="s">
        <v>109</v>
      </c>
      <c r="X114" s="64" t="s">
        <v>110</v>
      </c>
      <c r="Y114" s="65" t="s">
        <v>111</v>
      </c>
      <c r="AD114" s="7" t="s">
        <v>40</v>
      </c>
      <c r="AH114" s="83"/>
      <c r="AL114" s="83"/>
      <c r="AP114" s="71"/>
      <c r="AT114" s="71"/>
      <c r="AX114" s="96"/>
      <c r="BB114" s="86"/>
      <c r="BF114" s="16"/>
      <c r="BJ114" s="16"/>
      <c r="BN114" s="92"/>
      <c r="BR114" s="66"/>
    </row>
    <row r="115" spans="1:77" ht="80" x14ac:dyDescent="0.2">
      <c r="A115" s="6"/>
      <c r="B115" s="6"/>
      <c r="C115" s="6"/>
      <c r="F115" s="15" t="s">
        <v>139</v>
      </c>
      <c r="G115" s="15" t="s">
        <v>140</v>
      </c>
      <c r="M115" s="6"/>
      <c r="N115" s="31" t="s">
        <v>179</v>
      </c>
      <c r="O115" s="31" t="s">
        <v>35</v>
      </c>
      <c r="P115" s="31" t="s">
        <v>48</v>
      </c>
      <c r="Q115" s="31" t="s">
        <v>47</v>
      </c>
      <c r="R115" s="31"/>
      <c r="S115" s="31"/>
      <c r="T115" s="31"/>
      <c r="U115" s="31"/>
      <c r="V115" s="31"/>
      <c r="W115" s="31"/>
      <c r="X115" s="31"/>
      <c r="Y115" s="31"/>
      <c r="Z115" s="67" t="s">
        <v>115</v>
      </c>
      <c r="AA115" s="67" t="s">
        <v>118</v>
      </c>
      <c r="AD115" s="7" t="s">
        <v>38</v>
      </c>
      <c r="AE115" s="6"/>
      <c r="AF115" s="6"/>
      <c r="AG115" s="6"/>
      <c r="AH115" s="82" t="str">
        <f>"Evaporative cooling devices will perform well during "</f>
        <v xml:space="preserve">Evaporative cooling devices will perform well during </v>
      </c>
      <c r="AI115" s="15"/>
      <c r="AJ115" s="15"/>
      <c r="AK115" s="15"/>
      <c r="AL115" s="82" t="s">
        <v>44</v>
      </c>
      <c r="AM115" s="15"/>
      <c r="AN115" s="15"/>
      <c r="AO115" s="15"/>
      <c r="AP115" s="63" t="str">
        <f>"Evaporative cooling devices can provide fair performance during "</f>
        <v xml:space="preserve">Evaporative cooling devices can provide fair performance during </v>
      </c>
      <c r="AQ115" s="15"/>
      <c r="AR115" s="15"/>
      <c r="AS115" s="15"/>
      <c r="AT115" s="63" t="str">
        <f>"Evaporative cooling devices could provide fair performance during "</f>
        <v xml:space="preserve">Evaporative cooling devices could provide fair performance during </v>
      </c>
      <c r="AU115" s="15"/>
      <c r="AV115" s="15"/>
      <c r="AW115" s="15"/>
      <c r="AX115" s="95" t="str">
        <f>"Evaporative cooling devices can provide improved storage during "</f>
        <v xml:space="preserve">Evaporative cooling devices can provide improved storage during </v>
      </c>
      <c r="AY115" s="15"/>
      <c r="AZ115" s="15"/>
      <c r="BA115" s="15"/>
      <c r="BB115" s="87" t="s">
        <v>45</v>
      </c>
      <c r="BC115" s="15"/>
      <c r="BD115" s="15"/>
      <c r="BE115" s="15"/>
      <c r="BF115" s="90" t="str">
        <f>"Evaporative cooling devices are not well suited during any of the times of year there is a need ("</f>
        <v>Evaporative cooling devices are not well suited during any of the times of year there is a need (</v>
      </c>
      <c r="BG115" s="15"/>
      <c r="BH115" s="15"/>
      <c r="BI115" s="15"/>
      <c r="BJ115" s="90" t="str">
        <f>"Evaporative cooling devices are not well suited during any of the times of year there is a need:                                                                                                                                                  "</f>
        <v xml:space="preserve">Evaporative cooling devices are not well suited during any of the times of year there is a need:                                                                                                                                                  </v>
      </c>
      <c r="BK115" s="15"/>
      <c r="BL115" s="15"/>
      <c r="BM115" s="15"/>
      <c r="BN115" s="93" t="str">
        <f>"Evaporative cooling devices have the potential to save money during:                                                                                                                                    "</f>
        <v xml:space="preserve">Evaporative cooling devices have the potential to save money during:                                                                                                                                    </v>
      </c>
      <c r="BO115" s="15"/>
      <c r="BP115" s="15"/>
      <c r="BQ115" s="15"/>
      <c r="BR115" s="68" t="s">
        <v>45</v>
      </c>
      <c r="BX115" s="15"/>
      <c r="BY115" s="15"/>
    </row>
    <row r="116" spans="1:77" ht="32" x14ac:dyDescent="0.2">
      <c r="A116" s="6"/>
      <c r="B116" s="6" t="s">
        <v>119</v>
      </c>
      <c r="C116" s="6" t="s">
        <v>94</v>
      </c>
      <c r="D116" s="6" t="s">
        <v>59</v>
      </c>
      <c r="E116" s="6" t="s">
        <v>95</v>
      </c>
      <c r="AD116" s="7" t="s">
        <v>39</v>
      </c>
      <c r="AH116" s="83"/>
      <c r="AL116" s="88" t="s">
        <v>180</v>
      </c>
      <c r="AP116" s="71"/>
      <c r="AT116" s="84" t="s">
        <v>180</v>
      </c>
      <c r="AX116" s="96"/>
      <c r="BB116" s="86"/>
      <c r="BF116" s="16" t="s">
        <v>138</v>
      </c>
      <c r="BJ116" s="16"/>
      <c r="BN116" s="92"/>
      <c r="BR116" s="66"/>
      <c r="BX116" s="6"/>
      <c r="BY116" s="6"/>
    </row>
    <row r="117" spans="1:77" ht="32" x14ac:dyDescent="0.2">
      <c r="A117" s="6"/>
      <c r="B117" s="6" t="s">
        <v>16</v>
      </c>
      <c r="C117" s="6" t="s">
        <v>16</v>
      </c>
      <c r="D117" s="6" t="s">
        <v>16</v>
      </c>
      <c r="E117" s="6" t="s">
        <v>16</v>
      </c>
      <c r="Z117" s="7" t="s">
        <v>117</v>
      </c>
      <c r="AE117" s="82" t="str">
        <f>" H = 3"</f>
        <v xml:space="preserve"> H = 3</v>
      </c>
      <c r="AF117" s="82"/>
      <c r="AG117" s="82"/>
      <c r="AH117" s="82" t="str">
        <f>IF(AF129=0, ""&amp;AH114&amp;"", ""&amp;AH115&amp;""&amp;AH118&amp;""&amp;AH119&amp;""&amp;AH120&amp;""&amp;AH121&amp;""&amp;AH122&amp;""&amp;AH123&amp;""&amp;AH124&amp;""&amp;AH125&amp;""&amp;AH126&amp;""&amp;AH127&amp;""&amp;AH128&amp;""&amp;AH129&amp;""&amp;AH116&amp;"")</f>
        <v/>
      </c>
      <c r="AI117" s="36" t="s">
        <v>125</v>
      </c>
      <c r="AJ117" s="82"/>
      <c r="AK117" s="82"/>
      <c r="AL117" s="82" t="str">
        <f>IF(AJ129=0, ""&amp;AL114&amp;"",""&amp;AL115&amp;""&amp;AL118&amp;""&amp;AL119&amp;""&amp;AL120&amp;""&amp;AL121&amp;""&amp;AL122&amp;""&amp;AL123&amp;""&amp;AL124&amp;""&amp;AL125&amp;""&amp;AL126&amp;""&amp;AL127&amp;""&amp;AL128&amp;""&amp;AL129&amp;""&amp;AL116&amp;"")</f>
        <v/>
      </c>
      <c r="AM117" s="63" t="s">
        <v>126</v>
      </c>
      <c r="AN117" s="63"/>
      <c r="AO117" s="63"/>
      <c r="AP117" s="63" t="str">
        <f>IF(AN129=0, ""&amp;AP114&amp;"",""&amp;AP115&amp;""&amp;AP118&amp;""&amp;AP119&amp;""&amp;AP120&amp;""&amp;AP121&amp;""&amp;AP122&amp;""&amp;AP123&amp;""&amp;AP124&amp;""&amp;AP125&amp;""&amp;AP126&amp;""&amp;AP127&amp;""&amp;AP128&amp;""&amp;AP129&amp;""&amp;AP116&amp;"")</f>
        <v/>
      </c>
      <c r="AQ117" s="36" t="s">
        <v>127</v>
      </c>
      <c r="AR117" s="63"/>
      <c r="AS117" s="63"/>
      <c r="AT117" s="63" t="str">
        <f>IF(AR129=0, ""&amp;AT114&amp;"",""&amp;AT115&amp;""&amp;AT118&amp;""&amp;AT119&amp;""&amp;AT120&amp;""&amp;AT121&amp;""&amp;AT122&amp;""&amp;AT123&amp;""&amp;AT124&amp;""&amp;AT125&amp;""&amp;AT126&amp;""&amp;AT127&amp;""&amp;AT128&amp;""&amp;AT129&amp;""&amp;AT116&amp;"")</f>
        <v/>
      </c>
      <c r="AU117" s="97" t="s">
        <v>165</v>
      </c>
      <c r="AV117" s="97"/>
      <c r="AW117" s="97"/>
      <c r="AX117" s="97" t="str">
        <f>IF(AV129=0, ""&amp;AX114&amp;"",""&amp;AX115&amp;""&amp;AX118&amp;""&amp;AX119&amp;""&amp;AX120&amp;""&amp;AX121&amp;""&amp;AX122&amp;""&amp;AX123&amp;""&amp;AX124&amp;""&amp;AX125&amp;""&amp;AX126&amp;""&amp;AX127&amp;""&amp;AX128&amp;""&amp;AX129&amp;""&amp;AX116&amp;"")</f>
        <v/>
      </c>
      <c r="AY117" s="85" t="s">
        <v>102</v>
      </c>
      <c r="AZ117" s="85"/>
      <c r="BA117" s="85"/>
      <c r="BB117" s="85" t="str">
        <f>IF(AZ129=0, ""&amp;BB114&amp;"",""&amp;BB115&amp;""&amp;BB118&amp;""&amp;BB119&amp;""&amp;BB120&amp;""&amp;BB121&amp;""&amp;BB122&amp;""&amp;BB123&amp;""&amp;BB124&amp;""&amp;BB125&amp;""&amp;BB126&amp;""&amp;BB127&amp;""&amp;BB128&amp;""&amp;BB129&amp;""&amp;BB116&amp;"")</f>
        <v/>
      </c>
      <c r="BC117" s="30"/>
      <c r="BD117" s="30"/>
      <c r="BE117" s="30"/>
      <c r="BF117" s="30" t="str">
        <f>IF(BD129=0, ""&amp;BF114&amp;"",""&amp;BF115&amp;""&amp;BF118&amp;""&amp;BF119&amp;""&amp;BF120&amp;""&amp;BF121&amp;""&amp;BF122&amp;""&amp;BF123&amp;""&amp;BF124&amp;""&amp;BF125&amp;""&amp;BF126&amp;""&amp;BF127&amp;""&amp;BF128&amp;""&amp;BF129&amp;""&amp;BF116&amp;"")</f>
        <v/>
      </c>
      <c r="BG117" s="30"/>
      <c r="BH117" s="30"/>
      <c r="BI117" s="30"/>
      <c r="BJ117" s="30" t="str">
        <f>IF(BH129=0, ""&amp;BJ114&amp;"",""&amp;BJ115&amp;""&amp;BJ118&amp;""&amp;BJ119&amp;""&amp;BJ120&amp;""&amp;BJ121&amp;""&amp;BJ122&amp;""&amp;BJ123&amp;""&amp;BJ124&amp;""&amp;BJ125&amp;""&amp;BJ126&amp;""&amp;BJ127&amp;""&amp;BJ128&amp;""&amp;BJ129&amp;""&amp;BJ116&amp;"")</f>
        <v/>
      </c>
      <c r="BK117" s="91"/>
      <c r="BL117" s="91"/>
      <c r="BM117" s="91"/>
      <c r="BN117" s="91" t="str">
        <f>IF(BL129=0, ""&amp;BN114&amp;"",""&amp;BN115&amp;""&amp;BN118&amp;""&amp;BN119&amp;""&amp;BN120&amp;""&amp;BN121&amp;""&amp;BN122&amp;""&amp;BN123&amp;""&amp;BN124&amp;""&amp;BN125&amp;""&amp;BN126&amp;""&amp;BN127&amp;""&amp;BN128&amp;""&amp;BN129&amp;""&amp;BN116&amp;"")</f>
        <v/>
      </c>
      <c r="BO117" s="33" t="s">
        <v>102</v>
      </c>
      <c r="BP117" s="33"/>
      <c r="BQ117" s="33"/>
      <c r="BR117" s="33" t="str">
        <f>IF(BP129=0, ""&amp;BR114&amp;"",""&amp;BR115&amp;""&amp;BR118&amp;""&amp;BR119&amp;""&amp;BR120&amp;""&amp;BR121&amp;""&amp;BR122&amp;""&amp;BR123&amp;""&amp;BR124&amp;""&amp;BR125&amp;""&amp;BR126&amp;""&amp;BR127&amp;""&amp;BR128&amp;""&amp;BR129&amp;""&amp;BR116&amp;"")</f>
        <v/>
      </c>
      <c r="BX117" s="69" t="s">
        <v>37</v>
      </c>
      <c r="BY117" s="98" t="s">
        <v>167</v>
      </c>
    </row>
    <row r="118" spans="1:77" ht="32" x14ac:dyDescent="0.2">
      <c r="A118" s="70" t="s">
        <v>17</v>
      </c>
      <c r="B118" s="6">
        <f>$G76</f>
        <v>1</v>
      </c>
      <c r="C118" s="6">
        <f>$G77</f>
        <v>0</v>
      </c>
      <c r="D118" s="6">
        <f>$G78</f>
        <v>0</v>
      </c>
      <c r="E118" s="6">
        <f>$G79</f>
        <v>0</v>
      </c>
      <c r="F118" s="7" t="str">
        <f>'Decision making tool'!G$88</f>
        <v/>
      </c>
      <c r="G118" s="7" t="str">
        <f>'Decision making tool'!G$91</f>
        <v/>
      </c>
      <c r="N118" s="7">
        <f t="shared" ref="N118:N129" si="15">IF(B118=0, 1, 0)</f>
        <v>0</v>
      </c>
      <c r="P118" s="7">
        <f t="shared" ref="P118:P129" si="16">IF(D118=0, 1, 0)</f>
        <v>1</v>
      </c>
      <c r="Q118" s="7">
        <f t="shared" ref="Q118:Q129" si="17">IF(D118=1, 1, 0)</f>
        <v>0</v>
      </c>
      <c r="R118" s="6"/>
      <c r="S118" s="6"/>
      <c r="V118" s="6"/>
      <c r="Z118" s="7">
        <f>G93</f>
        <v>0</v>
      </c>
      <c r="AA118" s="7" t="str">
        <f>G94</f>
        <v>Enter humidity</v>
      </c>
      <c r="AD118" s="7" t="str">
        <f t="shared" ref="AD118:AD129" si="18">""&amp;A118&amp;""</f>
        <v>January</v>
      </c>
      <c r="AE118" s="83" t="str">
        <f t="shared" ref="AE118:AE129" si="19">IF(D118=3,IF(C118=1,AD118,""),"")</f>
        <v/>
      </c>
      <c r="AF118" s="7">
        <f>IF(AE118="",0,1)</f>
        <v>0</v>
      </c>
      <c r="AG118" s="7">
        <f t="shared" ref="AG118:AG127" si="20">IF(AE118="",AG119,AG119+1)</f>
        <v>0</v>
      </c>
      <c r="AH118" s="7" t="str">
        <f>AE118</f>
        <v/>
      </c>
      <c r="AI118" s="72" t="str">
        <f t="shared" ref="AI118:AI129" si="21">IF(D118=3,IF(C118=0,AD118,""),"")</f>
        <v/>
      </c>
      <c r="AJ118" s="7">
        <f>IF(AI118="",0,1)</f>
        <v>0</v>
      </c>
      <c r="AK118" s="7">
        <f t="shared" ref="AK118:AK127" si="22">IF(AI118="",AK119,AK119+1)</f>
        <v>0</v>
      </c>
      <c r="AL118" s="7" t="str">
        <f>AI118</f>
        <v/>
      </c>
      <c r="AM118" s="71" t="str">
        <f t="shared" ref="AM118:AM129" si="23">IF(E118=3,"",IF(D118=2,IF(C118=1,AD118,""),""))</f>
        <v/>
      </c>
      <c r="AN118" s="7">
        <f>IF(AM118="",0,1)</f>
        <v>0</v>
      </c>
      <c r="AO118" s="7">
        <f t="shared" ref="AO118:AO128" si="24">IF(AM118="",AO119,AO119+1)</f>
        <v>0</v>
      </c>
      <c r="AP118" s="7" t="str">
        <f>AM118</f>
        <v/>
      </c>
      <c r="AQ118" s="72" t="str">
        <f t="shared" ref="AQ118:AQ129" si="25">IF(E118=3,"",IF(D118=2,IF(C118=0,AD118,""),""))</f>
        <v/>
      </c>
      <c r="AR118" s="7">
        <f>IF(AQ118="",0,1)</f>
        <v>0</v>
      </c>
      <c r="AS118" s="7">
        <f t="shared" ref="AS118:AS128" si="26">IF(AQ118="",AS119,AS119+1)</f>
        <v>0</v>
      </c>
      <c r="AT118" s="7" t="str">
        <f>AQ118</f>
        <v/>
      </c>
      <c r="AU118" s="96" t="str">
        <f>IF(AE118="", AM118, AE118)</f>
        <v/>
      </c>
      <c r="AV118" s="7">
        <f>IF(AU118="",0,1)</f>
        <v>0</v>
      </c>
      <c r="AW118" s="7">
        <f t="shared" ref="AW118:AW128" si="27">IF(AU118="",AW119,AW119+1)</f>
        <v>0</v>
      </c>
      <c r="AX118" s="7" t="str">
        <f>AU118</f>
        <v/>
      </c>
      <c r="AY118" s="86" t="str">
        <f t="shared" ref="AY118:AY129" si="28">IF($D118=1,$AD118,"")</f>
        <v/>
      </c>
      <c r="AZ118" s="7">
        <f>IF(AY118="",0,1)</f>
        <v>0</v>
      </c>
      <c r="BA118" s="7">
        <f t="shared" ref="BA118:BA128" si="29">IF(AY118="",BA119,BA119+1)</f>
        <v>0</v>
      </c>
      <c r="BB118" s="7" t="str">
        <f>AY118</f>
        <v/>
      </c>
      <c r="BC118" s="16" t="str">
        <f>IF($G118&gt;0, "", IF($F118&gt;0,$AD118,""))</f>
        <v/>
      </c>
      <c r="BD118" s="7">
        <f>IF(BC118="",0,1)</f>
        <v>0</v>
      </c>
      <c r="BE118" s="7">
        <f t="shared" ref="BE118:BE128" si="30">IF(BC118="",BE119,BE119+1)</f>
        <v>0</v>
      </c>
      <c r="BF118" s="7" t="str">
        <f>BC118</f>
        <v/>
      </c>
      <c r="BG118" s="16" t="str">
        <f>IF($G118&gt;0, "", IF($F118&gt;0,$AD118,""))</f>
        <v/>
      </c>
      <c r="BH118" s="7">
        <f>IF(BG118="",0,1)</f>
        <v>0</v>
      </c>
      <c r="BI118" s="7">
        <f t="shared" ref="BI118:BI128" si="31">IF(BG118="",BI119,BI119+1)</f>
        <v>0</v>
      </c>
      <c r="BJ118" s="7" t="str">
        <f>BG118</f>
        <v/>
      </c>
      <c r="BK118" s="92" t="str">
        <f>IF($G118="","",IF($G118&gt;0,$AD118,""))</f>
        <v/>
      </c>
      <c r="BL118" s="7">
        <f>IF(BK118="",0,1)</f>
        <v>0</v>
      </c>
      <c r="BM118" s="7">
        <f t="shared" ref="BM118:BM128" si="32">IF(BK118="",BM119,BM119+1)</f>
        <v>0</v>
      </c>
      <c r="BN118" s="7" t="str">
        <f>BK118</f>
        <v/>
      </c>
      <c r="BO118" s="72" t="str">
        <f t="shared" ref="BO118:BO129" si="33">IF($D118=1,$AD118,"")</f>
        <v/>
      </c>
      <c r="BP118" s="7">
        <f>IF(BO118="",0,1)</f>
        <v>0</v>
      </c>
      <c r="BQ118" s="7">
        <f t="shared" ref="BQ118:BQ128" si="34">IF(BO118="",BQ119,BQ119+1)</f>
        <v>0</v>
      </c>
      <c r="BR118" s="7" t="str">
        <f>BO118</f>
        <v/>
      </c>
      <c r="BT118" s="7">
        <f t="shared" ref="BT118:BT129" si="35">Z118</f>
        <v>0</v>
      </c>
      <c r="BU118" s="7" t="str">
        <f t="shared" ref="BU118:BU129" si="36">AA118</f>
        <v>Enter humidity</v>
      </c>
      <c r="BW118" s="6" t="str">
        <f t="shared" ref="BW118:BW129" si="37">IF(D118=1,Q$115,IF(B118=1,IF(C118=1,
IF(D118=0,P$115,
IF(D118=2,IF(E118=0,U$115,IF(E118=1,T$115,IF(E118=2,S$115,IF(E118=3,R$115,"2-")))),
IF(D118=3,IF(E118=0,Y$115,IF(E118=1,X$115,IF(E118=2,W$115,IF(E118=3,V$115,"3-")))),"F-"))),O$115),N$115))</f>
        <v xml:space="preserve">Water is needed for evaporative cooling to work </v>
      </c>
      <c r="BX118" s="73" t="str">
        <f>IF($B$51=0,"",IF(D118=1,""&amp;Q$115&amp;""&amp;A118&amp;"",IF(B118=1,IF(C118=1,
IF(D118=0,""&amp;P$115&amp;""&amp;A118&amp;"",
IF(D118=2,IF(E118=0,U$115,IF(E118=1,""&amp;T$115&amp;""&amp;A118&amp;"",IF(E118=2,""&amp;S$115&amp;""&amp;A118&amp;"",IF(E118=3,""&amp;R$115&amp;""&amp;A118&amp;"","2-")))),
IF(D118=3,IF(E118=0,Y$115,IF(E118=1,""&amp;X$115&amp;""&amp;A118&amp;"",IF(E118=2,""&amp;W$115&amp;""&amp;A118&amp;"",IF(E118=3,""&amp;V$115&amp;""&amp;A118&amp;"","3-")))),"F-"))),O$115),""&amp;N$115&amp;""&amp;A118&amp;"")))</f>
        <v/>
      </c>
      <c r="BY118" s="73" t="str">
        <f>IF(AE118="", IF(AI118="", IF(AM118="", IF(AQ118="", IF(AY118="", "error", ""&amp;BB$115&amp;""&amp;AD118&amp;""), ""&amp;AT$115&amp;""&amp;AD118&amp;""),""&amp;AP$115&amp;""&amp;AD118&amp;""),""&amp;AL$115&amp;""&amp;AD118&amp;""),""&amp;AH$115&amp;""&amp;AD118&amp;"")</f>
        <v>error</v>
      </c>
    </row>
    <row r="119" spans="1:77" ht="32" x14ac:dyDescent="0.2">
      <c r="A119" s="74" t="s">
        <v>18</v>
      </c>
      <c r="B119" s="6">
        <f>$H76</f>
        <v>1</v>
      </c>
      <c r="C119" s="6">
        <f>$H77</f>
        <v>0</v>
      </c>
      <c r="D119" s="6">
        <f>$H78</f>
        <v>0</v>
      </c>
      <c r="E119" s="6">
        <f>$H79</f>
        <v>0</v>
      </c>
      <c r="F119" s="7" t="str">
        <f>'Decision making tool'!H$88</f>
        <v/>
      </c>
      <c r="G119" s="7" t="str">
        <f>'Decision making tool'!H$91</f>
        <v/>
      </c>
      <c r="N119" s="7">
        <f t="shared" si="15"/>
        <v>0</v>
      </c>
      <c r="P119" s="7">
        <f t="shared" si="16"/>
        <v>1</v>
      </c>
      <c r="Q119" s="7">
        <f t="shared" si="17"/>
        <v>0</v>
      </c>
      <c r="R119" s="6"/>
      <c r="S119" s="6"/>
      <c r="V119" s="6"/>
      <c r="Z119" s="7">
        <f>H93</f>
        <v>0</v>
      </c>
      <c r="AA119" s="7" t="str">
        <f>H94</f>
        <v>Enter humidity</v>
      </c>
      <c r="AD119" s="7" t="str">
        <f t="shared" si="18"/>
        <v>February</v>
      </c>
      <c r="AE119" s="83" t="str">
        <f t="shared" si="19"/>
        <v/>
      </c>
      <c r="AF119" s="7">
        <f>IF(AE119="",AF118,AF118+1)</f>
        <v>0</v>
      </c>
      <c r="AG119" s="7">
        <f t="shared" si="20"/>
        <v>0</v>
      </c>
      <c r="AH119" s="7" t="str">
        <f>IF(AE119="","",IF(AF118=0,AE119,IF(AG120&gt;0,", "&amp;AE119&amp;"",", and "&amp;AE119&amp;"")))</f>
        <v/>
      </c>
      <c r="AI119" s="72" t="str">
        <f t="shared" si="21"/>
        <v/>
      </c>
      <c r="AJ119" s="7">
        <f>IF(AI119="",AJ118,AJ118+1)</f>
        <v>0</v>
      </c>
      <c r="AK119" s="7">
        <f t="shared" si="22"/>
        <v>0</v>
      </c>
      <c r="AL119" s="7" t="str">
        <f>IF(AI119="","",IF(AJ118=0,AI119,IF(AK120&gt;0,", "&amp;AI119&amp;"",", and "&amp;AI119&amp;"")))</f>
        <v/>
      </c>
      <c r="AM119" s="71" t="str">
        <f t="shared" si="23"/>
        <v/>
      </c>
      <c r="AN119" s="7">
        <f t="shared" ref="AN119:AN129" si="38">IF(AM119="",AN118,AN118+1)</f>
        <v>0</v>
      </c>
      <c r="AO119" s="7">
        <f t="shared" si="24"/>
        <v>0</v>
      </c>
      <c r="AP119" s="23" t="str">
        <f t="shared" ref="AP119:AP128" si="39">IF(AM119="","",IF(AN118=0,AM119,IF(AO120&gt;0,", "&amp;AM119&amp;"",", and "&amp;AM119&amp;"")))</f>
        <v/>
      </c>
      <c r="AQ119" s="72" t="str">
        <f t="shared" si="25"/>
        <v/>
      </c>
      <c r="AR119" s="7">
        <f t="shared" ref="AR119:AR129" si="40">IF(AQ119="",AR118,AR118+1)</f>
        <v>0</v>
      </c>
      <c r="AS119" s="7">
        <f t="shared" si="26"/>
        <v>0</v>
      </c>
      <c r="AT119" s="7" t="str">
        <f t="shared" ref="AT119:AT128" si="41">IF(AQ119="","",IF(AR118=0,AQ119,IF(AS120&gt;0,", "&amp;AQ119&amp;"",", and "&amp;AQ119&amp;"")))</f>
        <v/>
      </c>
      <c r="AU119" s="96" t="str">
        <f t="shared" ref="AU119:AU129" si="42">IF(AE119="", AM119, AE119)</f>
        <v/>
      </c>
      <c r="AV119" s="7">
        <f t="shared" ref="AV119:AV129" si="43">IF(AU119="",AV118,AV118+1)</f>
        <v>0</v>
      </c>
      <c r="AW119" s="7">
        <f t="shared" si="27"/>
        <v>0</v>
      </c>
      <c r="AX119" s="7" t="str">
        <f t="shared" ref="AX119:AX128" si="44">IF(AU119="","",IF(AV118=0,AU119,IF(AW120&gt;0,", "&amp;AU119&amp;"",", and "&amp;AU119&amp;"")))</f>
        <v/>
      </c>
      <c r="AY119" s="86" t="str">
        <f t="shared" si="28"/>
        <v/>
      </c>
      <c r="AZ119" s="7">
        <f t="shared" ref="AZ119:AZ129" si="45">IF(AY119="",AZ118,AZ118+1)</f>
        <v>0</v>
      </c>
      <c r="BA119" s="7">
        <f t="shared" si="29"/>
        <v>0</v>
      </c>
      <c r="BB119" s="7" t="str">
        <f t="shared" ref="BB119:BB128" si="46">IF(AY119="","",IF(AZ118=0,AY119,IF(BA120&gt;0,", "&amp;AY119&amp;"",", and "&amp;AY119&amp;"")))</f>
        <v/>
      </c>
      <c r="BC119" s="16" t="str">
        <f t="shared" ref="BC119:BC129" si="47">IF($G119&gt;0, "", IF($F119&gt;0,$AD119,""))</f>
        <v/>
      </c>
      <c r="BD119" s="7">
        <f t="shared" ref="BD119:BD129" si="48">IF(BC119="",BD118,BD118+1)</f>
        <v>0</v>
      </c>
      <c r="BE119" s="7">
        <f t="shared" si="30"/>
        <v>0</v>
      </c>
      <c r="BF119" s="7" t="str">
        <f t="shared" ref="BF119:BF128" si="49">IF(BC119="","",IF(BD118=0,BC119,IF(BE120&gt;0,", "&amp;BC119&amp;"",", and "&amp;BC119&amp;"")))</f>
        <v/>
      </c>
      <c r="BG119" s="16" t="str">
        <f t="shared" ref="BG119:BG129" si="50">IF($G119&gt;0, "", IF($F119&gt;0,$AD119,""))</f>
        <v/>
      </c>
      <c r="BH119" s="7">
        <f t="shared" ref="BH119:BH129" si="51">IF(BG119="",BH118,BH118+1)</f>
        <v>0</v>
      </c>
      <c r="BI119" s="7">
        <f t="shared" si="31"/>
        <v>0</v>
      </c>
      <c r="BJ119" s="7" t="str">
        <f t="shared" ref="BJ119:BJ128" si="52">IF(BG119="","",IF(BH118=0,BG119,IF(BI120&gt;0,", "&amp;BG119&amp;"",", and "&amp;BG119&amp;"")))</f>
        <v/>
      </c>
      <c r="BK119" s="92" t="str">
        <f t="shared" ref="BK119:BK128" si="53">IF($G119="","",IF($G119&gt;0,$AD119,""))</f>
        <v/>
      </c>
      <c r="BL119" s="7">
        <f t="shared" ref="BL119:BL129" si="54">IF(BK119="",BL118,BL118+1)</f>
        <v>0</v>
      </c>
      <c r="BM119" s="7">
        <f t="shared" si="32"/>
        <v>0</v>
      </c>
      <c r="BN119" s="7" t="str">
        <f t="shared" ref="BN119:BN128" si="55">IF(BK119="","",IF(BL118=0,BK119,IF(BM120&gt;0,", "&amp;BK119&amp;"",", and "&amp;BK119&amp;"")))</f>
        <v/>
      </c>
      <c r="BO119" s="72" t="str">
        <f t="shared" si="33"/>
        <v/>
      </c>
      <c r="BP119" s="7">
        <f t="shared" ref="BP119:BP129" si="56">IF(BO119="",BP118,BP118+1)</f>
        <v>0</v>
      </c>
      <c r="BQ119" s="7">
        <f t="shared" si="34"/>
        <v>0</v>
      </c>
      <c r="BR119" s="7" t="str">
        <f t="shared" ref="BR119:BR128" si="57">IF(BO119="","",IF(BP118=0,BO119,IF(BQ120&gt;0,", "&amp;BO119&amp;"",", and "&amp;BO119&amp;"")))</f>
        <v/>
      </c>
      <c r="BT119" s="7">
        <f t="shared" si="35"/>
        <v>0</v>
      </c>
      <c r="BU119" s="7" t="str">
        <f t="shared" si="36"/>
        <v>Enter humidity</v>
      </c>
      <c r="BW119" s="6" t="str">
        <f t="shared" si="37"/>
        <v xml:space="preserve">Water is needed for evaporative cooling to work </v>
      </c>
      <c r="BX119" s="73" t="str">
        <f t="shared" ref="BX119:BX129" si="58">IF($B$51=0,"",IF(D119=1,""&amp;Q$115&amp;""&amp;A119&amp;"",IF(B119=1,IF(C119=1,
IF(D119=0,""&amp;P$115&amp;""&amp;A119&amp;"",
IF(D119=2,IF(E119=0,U$115,IF(E119=1,""&amp;T$115&amp;""&amp;A119&amp;"",IF(E119=2,""&amp;S$115&amp;""&amp;A119&amp;"",IF(E119=3,""&amp;R$115&amp;""&amp;A119&amp;"","2-")))),
IF(D119=3,IF(E119=0,Y$115,IF(E119=1,""&amp;X$115&amp;""&amp;A119&amp;"",IF(E119=2,""&amp;W$115&amp;""&amp;A119&amp;"",IF(E119=3,""&amp;V$115&amp;""&amp;A119&amp;"","3-")))),"F-"))),O$115),""&amp;N$115&amp;""&amp;A119&amp;"")))</f>
        <v/>
      </c>
      <c r="BY119" s="73" t="str">
        <f t="shared" ref="BY119:BY129" si="59">IF(AE119="", IF(AI119="", IF(AM119="", IF(AQ119="", IF(AY119="", "error", ""&amp;BB$115&amp;""&amp;AD119&amp;""), ""&amp;AT$115&amp;""&amp;AD119&amp;""),""&amp;AP$115&amp;""&amp;AD119&amp;""),""&amp;AL$115&amp;""&amp;AD119&amp;""),""&amp;AH$115&amp;""&amp;AD119&amp;"")</f>
        <v>error</v>
      </c>
    </row>
    <row r="120" spans="1:77" ht="32" x14ac:dyDescent="0.2">
      <c r="A120" s="74" t="s">
        <v>19</v>
      </c>
      <c r="B120" s="6">
        <f>$I76</f>
        <v>1</v>
      </c>
      <c r="C120" s="6">
        <f>$I77</f>
        <v>0</v>
      </c>
      <c r="D120" s="6">
        <f>$I78</f>
        <v>0</v>
      </c>
      <c r="E120" s="6">
        <f>$I79</f>
        <v>0</v>
      </c>
      <c r="F120" s="7" t="str">
        <f>'Decision making tool'!I$88</f>
        <v/>
      </c>
      <c r="G120" s="7" t="str">
        <f>'Decision making tool'!I$91</f>
        <v/>
      </c>
      <c r="N120" s="7">
        <f t="shared" si="15"/>
        <v>0</v>
      </c>
      <c r="P120" s="7">
        <f t="shared" si="16"/>
        <v>1</v>
      </c>
      <c r="Q120" s="7">
        <f t="shared" si="17"/>
        <v>0</v>
      </c>
      <c r="R120" s="6"/>
      <c r="S120" s="6"/>
      <c r="V120" s="6"/>
      <c r="Z120" s="7">
        <f>I93</f>
        <v>0</v>
      </c>
      <c r="AA120" s="7" t="str">
        <f>I94</f>
        <v>Enter humidity</v>
      </c>
      <c r="AD120" s="7" t="str">
        <f t="shared" si="18"/>
        <v>March</v>
      </c>
      <c r="AE120" s="83" t="str">
        <f t="shared" si="19"/>
        <v/>
      </c>
      <c r="AF120" s="7">
        <f t="shared" ref="AF120:AF129" si="60">IF(AE120="",AF119,AF119+1)</f>
        <v>0</v>
      </c>
      <c r="AG120" s="7">
        <f t="shared" si="20"/>
        <v>0</v>
      </c>
      <c r="AH120" s="7" t="str">
        <f>IF(AE120="","",IF(AF119=0,AE120,IF(AG121&gt;0,", "&amp;AE120&amp;"",", and "&amp;AE120&amp;"")))</f>
        <v/>
      </c>
      <c r="AI120" s="72" t="str">
        <f t="shared" si="21"/>
        <v/>
      </c>
      <c r="AJ120" s="7">
        <f t="shared" ref="AJ120:AJ127" si="61">IF(AI120="",AJ119,AJ119+1)</f>
        <v>0</v>
      </c>
      <c r="AK120" s="7">
        <f t="shared" si="22"/>
        <v>0</v>
      </c>
      <c r="AL120" s="7" t="str">
        <f t="shared" ref="AL120:AL128" si="62">IF(AI120="","",IF(AJ119=0,AI120,IF(AK121&gt;0,", "&amp;AI120&amp;"",", and "&amp;AI120&amp;"")))</f>
        <v/>
      </c>
      <c r="AM120" s="71" t="str">
        <f t="shared" si="23"/>
        <v/>
      </c>
      <c r="AN120" s="7">
        <f t="shared" si="38"/>
        <v>0</v>
      </c>
      <c r="AO120" s="7">
        <f t="shared" si="24"/>
        <v>0</v>
      </c>
      <c r="AP120" s="7" t="str">
        <f t="shared" si="39"/>
        <v/>
      </c>
      <c r="AQ120" s="72" t="str">
        <f t="shared" si="25"/>
        <v/>
      </c>
      <c r="AR120" s="7">
        <f t="shared" si="40"/>
        <v>0</v>
      </c>
      <c r="AS120" s="7">
        <f t="shared" si="26"/>
        <v>0</v>
      </c>
      <c r="AT120" s="7" t="str">
        <f t="shared" si="41"/>
        <v/>
      </c>
      <c r="AU120" s="96" t="str">
        <f t="shared" si="42"/>
        <v/>
      </c>
      <c r="AV120" s="7">
        <f t="shared" si="43"/>
        <v>0</v>
      </c>
      <c r="AW120" s="7">
        <f t="shared" si="27"/>
        <v>0</v>
      </c>
      <c r="AX120" s="7" t="str">
        <f t="shared" si="44"/>
        <v/>
      </c>
      <c r="AY120" s="86" t="str">
        <f t="shared" si="28"/>
        <v/>
      </c>
      <c r="AZ120" s="7">
        <f t="shared" si="45"/>
        <v>0</v>
      </c>
      <c r="BA120" s="7">
        <f t="shared" si="29"/>
        <v>0</v>
      </c>
      <c r="BB120" s="7" t="str">
        <f t="shared" si="46"/>
        <v/>
      </c>
      <c r="BC120" s="16" t="str">
        <f t="shared" si="47"/>
        <v/>
      </c>
      <c r="BD120" s="7">
        <f t="shared" si="48"/>
        <v>0</v>
      </c>
      <c r="BE120" s="7">
        <f t="shared" si="30"/>
        <v>0</v>
      </c>
      <c r="BF120" s="7" t="str">
        <f t="shared" si="49"/>
        <v/>
      </c>
      <c r="BG120" s="16" t="str">
        <f t="shared" si="50"/>
        <v/>
      </c>
      <c r="BH120" s="7">
        <f t="shared" si="51"/>
        <v>0</v>
      </c>
      <c r="BI120" s="7">
        <f t="shared" si="31"/>
        <v>0</v>
      </c>
      <c r="BJ120" s="7" t="str">
        <f t="shared" si="52"/>
        <v/>
      </c>
      <c r="BK120" s="92" t="str">
        <f t="shared" si="53"/>
        <v/>
      </c>
      <c r="BL120" s="7">
        <f t="shared" si="54"/>
        <v>0</v>
      </c>
      <c r="BM120" s="7">
        <f t="shared" si="32"/>
        <v>0</v>
      </c>
      <c r="BN120" s="7" t="str">
        <f t="shared" si="55"/>
        <v/>
      </c>
      <c r="BO120" s="72" t="str">
        <f t="shared" si="33"/>
        <v/>
      </c>
      <c r="BP120" s="7">
        <f t="shared" si="56"/>
        <v>0</v>
      </c>
      <c r="BQ120" s="7">
        <f t="shared" si="34"/>
        <v>0</v>
      </c>
      <c r="BR120" s="7" t="str">
        <f t="shared" si="57"/>
        <v/>
      </c>
      <c r="BT120" s="7">
        <f t="shared" si="35"/>
        <v>0</v>
      </c>
      <c r="BU120" s="7" t="str">
        <f t="shared" si="36"/>
        <v>Enter humidity</v>
      </c>
      <c r="BW120" s="6" t="str">
        <f t="shared" si="37"/>
        <v xml:space="preserve">Water is needed for evaporative cooling to work </v>
      </c>
      <c r="BX120" s="73" t="str">
        <f t="shared" si="58"/>
        <v/>
      </c>
      <c r="BY120" s="73" t="str">
        <f t="shared" si="59"/>
        <v>error</v>
      </c>
    </row>
    <row r="121" spans="1:77" ht="32" x14ac:dyDescent="0.2">
      <c r="A121" s="74" t="s">
        <v>20</v>
      </c>
      <c r="B121" s="6">
        <f>$J76</f>
        <v>1</v>
      </c>
      <c r="C121" s="6">
        <f>$J77</f>
        <v>0</v>
      </c>
      <c r="D121" s="6">
        <f>$J78</f>
        <v>0</v>
      </c>
      <c r="E121" s="6">
        <f>$J79</f>
        <v>0</v>
      </c>
      <c r="F121" s="7" t="str">
        <f>'Decision making tool'!J$88</f>
        <v/>
      </c>
      <c r="G121" s="7" t="str">
        <f>'Decision making tool'!J$91</f>
        <v/>
      </c>
      <c r="N121" s="7">
        <f t="shared" si="15"/>
        <v>0</v>
      </c>
      <c r="P121" s="7">
        <f t="shared" si="16"/>
        <v>1</v>
      </c>
      <c r="Q121" s="7">
        <f t="shared" si="17"/>
        <v>0</v>
      </c>
      <c r="R121" s="6"/>
      <c r="S121" s="6"/>
      <c r="V121" s="6"/>
      <c r="Z121" s="7">
        <f>J93</f>
        <v>0</v>
      </c>
      <c r="AA121" s="7" t="str">
        <f>J94</f>
        <v>Enter humidity</v>
      </c>
      <c r="AD121" s="7" t="str">
        <f t="shared" si="18"/>
        <v>April</v>
      </c>
      <c r="AE121" s="83" t="str">
        <f t="shared" si="19"/>
        <v/>
      </c>
      <c r="AF121" s="7">
        <f t="shared" si="60"/>
        <v>0</v>
      </c>
      <c r="AG121" s="7">
        <f t="shared" si="20"/>
        <v>0</v>
      </c>
      <c r="AH121" s="7" t="str">
        <f t="shared" ref="AH121:AH128" si="63">IF(AE121="","",IF(AF120=0,AE121,IF(AG122&gt;0,", "&amp;AE121&amp;"",", and "&amp;AE121&amp;"")))</f>
        <v/>
      </c>
      <c r="AI121" s="72" t="str">
        <f t="shared" si="21"/>
        <v/>
      </c>
      <c r="AJ121" s="7">
        <f t="shared" si="61"/>
        <v>0</v>
      </c>
      <c r="AK121" s="7">
        <f t="shared" si="22"/>
        <v>0</v>
      </c>
      <c r="AL121" s="7" t="str">
        <f t="shared" si="62"/>
        <v/>
      </c>
      <c r="AM121" s="71" t="str">
        <f t="shared" si="23"/>
        <v/>
      </c>
      <c r="AN121" s="7">
        <f t="shared" si="38"/>
        <v>0</v>
      </c>
      <c r="AO121" s="7">
        <f t="shared" si="24"/>
        <v>0</v>
      </c>
      <c r="AP121" s="7" t="str">
        <f t="shared" si="39"/>
        <v/>
      </c>
      <c r="AQ121" s="72" t="str">
        <f t="shared" si="25"/>
        <v/>
      </c>
      <c r="AR121" s="7">
        <f t="shared" si="40"/>
        <v>0</v>
      </c>
      <c r="AS121" s="7">
        <f t="shared" si="26"/>
        <v>0</v>
      </c>
      <c r="AT121" s="7" t="str">
        <f t="shared" si="41"/>
        <v/>
      </c>
      <c r="AU121" s="96" t="str">
        <f t="shared" si="42"/>
        <v/>
      </c>
      <c r="AV121" s="7">
        <f t="shared" si="43"/>
        <v>0</v>
      </c>
      <c r="AW121" s="7">
        <f t="shared" si="27"/>
        <v>0</v>
      </c>
      <c r="AX121" s="7" t="str">
        <f t="shared" si="44"/>
        <v/>
      </c>
      <c r="AY121" s="86" t="str">
        <f t="shared" si="28"/>
        <v/>
      </c>
      <c r="AZ121" s="7">
        <f t="shared" si="45"/>
        <v>0</v>
      </c>
      <c r="BA121" s="7">
        <f t="shared" si="29"/>
        <v>0</v>
      </c>
      <c r="BB121" s="7" t="str">
        <f t="shared" si="46"/>
        <v/>
      </c>
      <c r="BC121" s="16" t="str">
        <f t="shared" si="47"/>
        <v/>
      </c>
      <c r="BD121" s="7">
        <f t="shared" si="48"/>
        <v>0</v>
      </c>
      <c r="BE121" s="7">
        <f t="shared" si="30"/>
        <v>0</v>
      </c>
      <c r="BF121" s="7" t="str">
        <f t="shared" si="49"/>
        <v/>
      </c>
      <c r="BG121" s="16" t="str">
        <f t="shared" si="50"/>
        <v/>
      </c>
      <c r="BH121" s="7">
        <f t="shared" si="51"/>
        <v>0</v>
      </c>
      <c r="BI121" s="7">
        <f t="shared" si="31"/>
        <v>0</v>
      </c>
      <c r="BJ121" s="7" t="str">
        <f t="shared" si="52"/>
        <v/>
      </c>
      <c r="BK121" s="92" t="str">
        <f t="shared" si="53"/>
        <v/>
      </c>
      <c r="BL121" s="7">
        <f t="shared" si="54"/>
        <v>0</v>
      </c>
      <c r="BM121" s="7">
        <f t="shared" si="32"/>
        <v>0</v>
      </c>
      <c r="BN121" s="7" t="str">
        <f t="shared" si="55"/>
        <v/>
      </c>
      <c r="BO121" s="72" t="str">
        <f t="shared" si="33"/>
        <v/>
      </c>
      <c r="BP121" s="7">
        <f t="shared" si="56"/>
        <v>0</v>
      </c>
      <c r="BQ121" s="7">
        <f t="shared" si="34"/>
        <v>0</v>
      </c>
      <c r="BR121" s="7" t="str">
        <f t="shared" si="57"/>
        <v/>
      </c>
      <c r="BT121" s="7">
        <f t="shared" si="35"/>
        <v>0</v>
      </c>
      <c r="BU121" s="7" t="str">
        <f t="shared" si="36"/>
        <v>Enter humidity</v>
      </c>
      <c r="BW121" s="6" t="str">
        <f t="shared" si="37"/>
        <v xml:space="preserve">Water is needed for evaporative cooling to work </v>
      </c>
      <c r="BX121" s="73" t="str">
        <f t="shared" si="58"/>
        <v/>
      </c>
      <c r="BY121" s="73" t="str">
        <f t="shared" si="59"/>
        <v>error</v>
      </c>
    </row>
    <row r="122" spans="1:77" ht="32" x14ac:dyDescent="0.2">
      <c r="A122" s="74" t="s">
        <v>21</v>
      </c>
      <c r="B122" s="6">
        <f>$K76</f>
        <v>1</v>
      </c>
      <c r="C122" s="6">
        <f>$K77</f>
        <v>0</v>
      </c>
      <c r="D122" s="6">
        <f>$K78</f>
        <v>0</v>
      </c>
      <c r="E122" s="6">
        <f>$K79</f>
        <v>0</v>
      </c>
      <c r="F122" s="7" t="str">
        <f>'Decision making tool'!K$88</f>
        <v/>
      </c>
      <c r="G122" s="7" t="str">
        <f>'Decision making tool'!K$91</f>
        <v/>
      </c>
      <c r="N122" s="7">
        <f t="shared" si="15"/>
        <v>0</v>
      </c>
      <c r="P122" s="7">
        <f t="shared" si="16"/>
        <v>1</v>
      </c>
      <c r="Q122" s="7">
        <f t="shared" si="17"/>
        <v>0</v>
      </c>
      <c r="R122" s="6"/>
      <c r="S122" s="6"/>
      <c r="V122" s="6"/>
      <c r="Z122" s="7">
        <f>K93</f>
        <v>0</v>
      </c>
      <c r="AA122" s="7" t="str">
        <f>K94</f>
        <v>Enter humidity</v>
      </c>
      <c r="AD122" s="7" t="str">
        <f t="shared" si="18"/>
        <v>May</v>
      </c>
      <c r="AE122" s="83" t="str">
        <f t="shared" si="19"/>
        <v/>
      </c>
      <c r="AF122" s="7">
        <f t="shared" si="60"/>
        <v>0</v>
      </c>
      <c r="AG122" s="7">
        <f t="shared" si="20"/>
        <v>0</v>
      </c>
      <c r="AH122" s="7" t="str">
        <f t="shared" si="63"/>
        <v/>
      </c>
      <c r="AI122" s="72" t="str">
        <f t="shared" si="21"/>
        <v/>
      </c>
      <c r="AJ122" s="7">
        <f t="shared" si="61"/>
        <v>0</v>
      </c>
      <c r="AK122" s="7">
        <f t="shared" si="22"/>
        <v>0</v>
      </c>
      <c r="AL122" s="7" t="str">
        <f t="shared" si="62"/>
        <v/>
      </c>
      <c r="AM122" s="71" t="str">
        <f t="shared" si="23"/>
        <v/>
      </c>
      <c r="AN122" s="7">
        <f t="shared" si="38"/>
        <v>0</v>
      </c>
      <c r="AO122" s="7">
        <f t="shared" si="24"/>
        <v>0</v>
      </c>
      <c r="AP122" s="7" t="str">
        <f t="shared" si="39"/>
        <v/>
      </c>
      <c r="AQ122" s="72" t="str">
        <f t="shared" si="25"/>
        <v/>
      </c>
      <c r="AR122" s="7">
        <f t="shared" si="40"/>
        <v>0</v>
      </c>
      <c r="AS122" s="7">
        <f t="shared" si="26"/>
        <v>0</v>
      </c>
      <c r="AT122" s="7" t="str">
        <f t="shared" si="41"/>
        <v/>
      </c>
      <c r="AU122" s="96" t="str">
        <f t="shared" si="42"/>
        <v/>
      </c>
      <c r="AV122" s="7">
        <f t="shared" si="43"/>
        <v>0</v>
      </c>
      <c r="AW122" s="7">
        <f t="shared" si="27"/>
        <v>0</v>
      </c>
      <c r="AX122" s="7" t="str">
        <f t="shared" si="44"/>
        <v/>
      </c>
      <c r="AY122" s="86" t="str">
        <f t="shared" si="28"/>
        <v/>
      </c>
      <c r="AZ122" s="7">
        <f t="shared" si="45"/>
        <v>0</v>
      </c>
      <c r="BA122" s="7">
        <f t="shared" si="29"/>
        <v>0</v>
      </c>
      <c r="BB122" s="7" t="str">
        <f t="shared" si="46"/>
        <v/>
      </c>
      <c r="BC122" s="16" t="str">
        <f t="shared" si="47"/>
        <v/>
      </c>
      <c r="BD122" s="7">
        <f t="shared" si="48"/>
        <v>0</v>
      </c>
      <c r="BE122" s="7">
        <f t="shared" si="30"/>
        <v>0</v>
      </c>
      <c r="BF122" s="7" t="str">
        <f t="shared" si="49"/>
        <v/>
      </c>
      <c r="BG122" s="16" t="str">
        <f t="shared" si="50"/>
        <v/>
      </c>
      <c r="BH122" s="7">
        <f t="shared" si="51"/>
        <v>0</v>
      </c>
      <c r="BI122" s="7">
        <f t="shared" si="31"/>
        <v>0</v>
      </c>
      <c r="BJ122" s="7" t="str">
        <f t="shared" si="52"/>
        <v/>
      </c>
      <c r="BK122" s="92" t="str">
        <f t="shared" si="53"/>
        <v/>
      </c>
      <c r="BL122" s="7">
        <f t="shared" si="54"/>
        <v>0</v>
      </c>
      <c r="BM122" s="7">
        <f t="shared" si="32"/>
        <v>0</v>
      </c>
      <c r="BN122" s="7" t="str">
        <f t="shared" si="55"/>
        <v/>
      </c>
      <c r="BO122" s="72" t="str">
        <f t="shared" si="33"/>
        <v/>
      </c>
      <c r="BP122" s="7">
        <f t="shared" si="56"/>
        <v>0</v>
      </c>
      <c r="BQ122" s="7">
        <f t="shared" si="34"/>
        <v>0</v>
      </c>
      <c r="BR122" s="7" t="str">
        <f t="shared" si="57"/>
        <v/>
      </c>
      <c r="BT122" s="7">
        <f t="shared" si="35"/>
        <v>0</v>
      </c>
      <c r="BU122" s="7" t="str">
        <f t="shared" si="36"/>
        <v>Enter humidity</v>
      </c>
      <c r="BW122" s="6" t="str">
        <f t="shared" si="37"/>
        <v xml:space="preserve">Water is needed for evaporative cooling to work </v>
      </c>
      <c r="BX122" s="73" t="str">
        <f t="shared" si="58"/>
        <v/>
      </c>
      <c r="BY122" s="73" t="str">
        <f t="shared" si="59"/>
        <v>error</v>
      </c>
    </row>
    <row r="123" spans="1:77" ht="32" x14ac:dyDescent="0.2">
      <c r="A123" s="74" t="s">
        <v>22</v>
      </c>
      <c r="B123" s="6">
        <f>$L76</f>
        <v>1</v>
      </c>
      <c r="C123" s="6">
        <f>$L77</f>
        <v>0</v>
      </c>
      <c r="D123" s="6">
        <f>$L78</f>
        <v>0</v>
      </c>
      <c r="E123" s="6">
        <f>$L79</f>
        <v>0</v>
      </c>
      <c r="F123" s="7" t="str">
        <f>'Decision making tool'!L$88</f>
        <v/>
      </c>
      <c r="G123" s="7" t="str">
        <f>'Decision making tool'!L$91</f>
        <v/>
      </c>
      <c r="N123" s="7">
        <f t="shared" si="15"/>
        <v>0</v>
      </c>
      <c r="P123" s="7">
        <f t="shared" si="16"/>
        <v>1</v>
      </c>
      <c r="Q123" s="7">
        <f t="shared" si="17"/>
        <v>0</v>
      </c>
      <c r="R123" s="6"/>
      <c r="S123" s="6"/>
      <c r="V123" s="6"/>
      <c r="Z123" s="7">
        <f>L93</f>
        <v>0</v>
      </c>
      <c r="AA123" s="7" t="str">
        <f>L94</f>
        <v>Enter humidity</v>
      </c>
      <c r="AD123" s="7" t="str">
        <f t="shared" si="18"/>
        <v>June</v>
      </c>
      <c r="AE123" s="83" t="str">
        <f t="shared" si="19"/>
        <v/>
      </c>
      <c r="AF123" s="7">
        <f t="shared" si="60"/>
        <v>0</v>
      </c>
      <c r="AG123" s="7">
        <f t="shared" si="20"/>
        <v>0</v>
      </c>
      <c r="AH123" s="7" t="str">
        <f t="shared" si="63"/>
        <v/>
      </c>
      <c r="AI123" s="72" t="str">
        <f t="shared" si="21"/>
        <v/>
      </c>
      <c r="AJ123" s="7">
        <f t="shared" si="61"/>
        <v>0</v>
      </c>
      <c r="AK123" s="7">
        <f t="shared" si="22"/>
        <v>0</v>
      </c>
      <c r="AL123" s="7" t="str">
        <f t="shared" si="62"/>
        <v/>
      </c>
      <c r="AM123" s="71" t="str">
        <f t="shared" si="23"/>
        <v/>
      </c>
      <c r="AN123" s="7">
        <f t="shared" si="38"/>
        <v>0</v>
      </c>
      <c r="AO123" s="7">
        <f t="shared" si="24"/>
        <v>0</v>
      </c>
      <c r="AP123" s="7" t="str">
        <f t="shared" si="39"/>
        <v/>
      </c>
      <c r="AQ123" s="72" t="str">
        <f t="shared" si="25"/>
        <v/>
      </c>
      <c r="AR123" s="7">
        <f t="shared" si="40"/>
        <v>0</v>
      </c>
      <c r="AS123" s="7">
        <f t="shared" si="26"/>
        <v>0</v>
      </c>
      <c r="AT123" s="7" t="str">
        <f t="shared" si="41"/>
        <v/>
      </c>
      <c r="AU123" s="96" t="str">
        <f t="shared" si="42"/>
        <v/>
      </c>
      <c r="AV123" s="7">
        <f t="shared" si="43"/>
        <v>0</v>
      </c>
      <c r="AW123" s="7">
        <f t="shared" si="27"/>
        <v>0</v>
      </c>
      <c r="AX123" s="7" t="str">
        <f t="shared" si="44"/>
        <v/>
      </c>
      <c r="AY123" s="86" t="str">
        <f t="shared" si="28"/>
        <v/>
      </c>
      <c r="AZ123" s="7">
        <f t="shared" si="45"/>
        <v>0</v>
      </c>
      <c r="BA123" s="7">
        <f t="shared" si="29"/>
        <v>0</v>
      </c>
      <c r="BB123" s="7" t="str">
        <f t="shared" si="46"/>
        <v/>
      </c>
      <c r="BC123" s="16" t="str">
        <f t="shared" si="47"/>
        <v/>
      </c>
      <c r="BD123" s="7">
        <f t="shared" si="48"/>
        <v>0</v>
      </c>
      <c r="BE123" s="7">
        <f t="shared" si="30"/>
        <v>0</v>
      </c>
      <c r="BF123" s="7" t="str">
        <f t="shared" si="49"/>
        <v/>
      </c>
      <c r="BG123" s="16" t="str">
        <f t="shared" si="50"/>
        <v/>
      </c>
      <c r="BH123" s="7">
        <f t="shared" si="51"/>
        <v>0</v>
      </c>
      <c r="BI123" s="7">
        <f t="shared" si="31"/>
        <v>0</v>
      </c>
      <c r="BJ123" s="7" t="str">
        <f t="shared" si="52"/>
        <v/>
      </c>
      <c r="BK123" s="92" t="str">
        <f t="shared" si="53"/>
        <v/>
      </c>
      <c r="BL123" s="7">
        <f t="shared" si="54"/>
        <v>0</v>
      </c>
      <c r="BM123" s="7">
        <f t="shared" si="32"/>
        <v>0</v>
      </c>
      <c r="BN123" s="7" t="str">
        <f t="shared" si="55"/>
        <v/>
      </c>
      <c r="BO123" s="72" t="str">
        <f t="shared" si="33"/>
        <v/>
      </c>
      <c r="BP123" s="7">
        <f t="shared" si="56"/>
        <v>0</v>
      </c>
      <c r="BQ123" s="7">
        <f t="shared" si="34"/>
        <v>0</v>
      </c>
      <c r="BR123" s="7" t="str">
        <f t="shared" si="57"/>
        <v/>
      </c>
      <c r="BT123" s="7">
        <f t="shared" si="35"/>
        <v>0</v>
      </c>
      <c r="BU123" s="7" t="str">
        <f t="shared" si="36"/>
        <v>Enter humidity</v>
      </c>
      <c r="BW123" s="6" t="str">
        <f t="shared" si="37"/>
        <v xml:space="preserve">Water is needed for evaporative cooling to work </v>
      </c>
      <c r="BX123" s="73" t="str">
        <f t="shared" si="58"/>
        <v/>
      </c>
      <c r="BY123" s="73" t="str">
        <f t="shared" si="59"/>
        <v>error</v>
      </c>
    </row>
    <row r="124" spans="1:77" ht="32" x14ac:dyDescent="0.2">
      <c r="A124" s="74" t="s">
        <v>23</v>
      </c>
      <c r="B124" s="6">
        <f>$M76</f>
        <v>1</v>
      </c>
      <c r="C124" s="6">
        <f>$M77</f>
        <v>0</v>
      </c>
      <c r="D124" s="6">
        <f>$M78</f>
        <v>0</v>
      </c>
      <c r="E124" s="6">
        <f>$M79</f>
        <v>0</v>
      </c>
      <c r="F124" s="7" t="str">
        <f>'Decision making tool'!M$88</f>
        <v/>
      </c>
      <c r="G124" s="7" t="str">
        <f>'Decision making tool'!M$91</f>
        <v/>
      </c>
      <c r="N124" s="7">
        <f t="shared" si="15"/>
        <v>0</v>
      </c>
      <c r="P124" s="7">
        <f t="shared" si="16"/>
        <v>1</v>
      </c>
      <c r="Q124" s="7">
        <f t="shared" si="17"/>
        <v>0</v>
      </c>
      <c r="R124" s="6"/>
      <c r="S124" s="6"/>
      <c r="V124" s="6"/>
      <c r="Z124" s="7">
        <f>M93</f>
        <v>0</v>
      </c>
      <c r="AA124" s="7" t="str">
        <f>M94</f>
        <v>Enter humidity</v>
      </c>
      <c r="AD124" s="7" t="str">
        <f t="shared" si="18"/>
        <v>July</v>
      </c>
      <c r="AE124" s="83" t="str">
        <f t="shared" si="19"/>
        <v/>
      </c>
      <c r="AF124" s="7">
        <f t="shared" si="60"/>
        <v>0</v>
      </c>
      <c r="AG124" s="7">
        <f t="shared" si="20"/>
        <v>0</v>
      </c>
      <c r="AH124" s="7" t="str">
        <f t="shared" si="63"/>
        <v/>
      </c>
      <c r="AI124" s="72" t="str">
        <f t="shared" si="21"/>
        <v/>
      </c>
      <c r="AJ124" s="7">
        <f t="shared" si="61"/>
        <v>0</v>
      </c>
      <c r="AK124" s="7">
        <f t="shared" si="22"/>
        <v>0</v>
      </c>
      <c r="AL124" s="7" t="str">
        <f t="shared" si="62"/>
        <v/>
      </c>
      <c r="AM124" s="71" t="str">
        <f t="shared" si="23"/>
        <v/>
      </c>
      <c r="AN124" s="7">
        <f t="shared" si="38"/>
        <v>0</v>
      </c>
      <c r="AO124" s="7">
        <f t="shared" si="24"/>
        <v>0</v>
      </c>
      <c r="AP124" s="7" t="str">
        <f t="shared" si="39"/>
        <v/>
      </c>
      <c r="AQ124" s="72" t="str">
        <f t="shared" si="25"/>
        <v/>
      </c>
      <c r="AR124" s="7">
        <f t="shared" si="40"/>
        <v>0</v>
      </c>
      <c r="AS124" s="7">
        <f t="shared" si="26"/>
        <v>0</v>
      </c>
      <c r="AT124" s="7" t="str">
        <f t="shared" si="41"/>
        <v/>
      </c>
      <c r="AU124" s="96" t="str">
        <f t="shared" si="42"/>
        <v/>
      </c>
      <c r="AV124" s="7">
        <f t="shared" si="43"/>
        <v>0</v>
      </c>
      <c r="AW124" s="7">
        <f t="shared" si="27"/>
        <v>0</v>
      </c>
      <c r="AX124" s="7" t="str">
        <f t="shared" si="44"/>
        <v/>
      </c>
      <c r="AY124" s="86" t="str">
        <f t="shared" si="28"/>
        <v/>
      </c>
      <c r="AZ124" s="7">
        <f t="shared" si="45"/>
        <v>0</v>
      </c>
      <c r="BA124" s="7">
        <f t="shared" si="29"/>
        <v>0</v>
      </c>
      <c r="BB124" s="7" t="str">
        <f t="shared" si="46"/>
        <v/>
      </c>
      <c r="BC124" s="16" t="str">
        <f t="shared" si="47"/>
        <v/>
      </c>
      <c r="BD124" s="7">
        <f t="shared" si="48"/>
        <v>0</v>
      </c>
      <c r="BE124" s="7">
        <f t="shared" si="30"/>
        <v>0</v>
      </c>
      <c r="BF124" s="7" t="str">
        <f t="shared" si="49"/>
        <v/>
      </c>
      <c r="BG124" s="16" t="str">
        <f t="shared" si="50"/>
        <v/>
      </c>
      <c r="BH124" s="7">
        <f t="shared" si="51"/>
        <v>0</v>
      </c>
      <c r="BI124" s="7">
        <f t="shared" si="31"/>
        <v>0</v>
      </c>
      <c r="BJ124" s="7" t="str">
        <f t="shared" si="52"/>
        <v/>
      </c>
      <c r="BK124" s="92" t="str">
        <f t="shared" si="53"/>
        <v/>
      </c>
      <c r="BL124" s="7">
        <f t="shared" si="54"/>
        <v>0</v>
      </c>
      <c r="BM124" s="7">
        <f t="shared" si="32"/>
        <v>0</v>
      </c>
      <c r="BN124" s="7" t="str">
        <f t="shared" si="55"/>
        <v/>
      </c>
      <c r="BO124" s="72" t="str">
        <f t="shared" si="33"/>
        <v/>
      </c>
      <c r="BP124" s="7">
        <f t="shared" si="56"/>
        <v>0</v>
      </c>
      <c r="BQ124" s="7">
        <f t="shared" si="34"/>
        <v>0</v>
      </c>
      <c r="BR124" s="7" t="str">
        <f t="shared" si="57"/>
        <v/>
      </c>
      <c r="BT124" s="7">
        <f t="shared" si="35"/>
        <v>0</v>
      </c>
      <c r="BU124" s="7" t="str">
        <f t="shared" si="36"/>
        <v>Enter humidity</v>
      </c>
      <c r="BW124" s="6" t="str">
        <f t="shared" si="37"/>
        <v xml:space="preserve">Water is needed for evaporative cooling to work </v>
      </c>
      <c r="BX124" s="73" t="str">
        <f t="shared" si="58"/>
        <v/>
      </c>
      <c r="BY124" s="73" t="str">
        <f t="shared" si="59"/>
        <v>error</v>
      </c>
    </row>
    <row r="125" spans="1:77" ht="32" x14ac:dyDescent="0.2">
      <c r="A125" s="74" t="s">
        <v>24</v>
      </c>
      <c r="B125" s="6">
        <f>$N76</f>
        <v>1</v>
      </c>
      <c r="C125" s="6">
        <f>$N77</f>
        <v>0</v>
      </c>
      <c r="D125" s="6">
        <f>$N78</f>
        <v>0</v>
      </c>
      <c r="E125" s="6">
        <f>$N79</f>
        <v>0</v>
      </c>
      <c r="F125" s="7" t="str">
        <f>'Decision making tool'!N$88</f>
        <v/>
      </c>
      <c r="G125" s="7" t="str">
        <f>'Decision making tool'!N$91</f>
        <v/>
      </c>
      <c r="N125" s="7">
        <f t="shared" si="15"/>
        <v>0</v>
      </c>
      <c r="P125" s="7">
        <f t="shared" si="16"/>
        <v>1</v>
      </c>
      <c r="Q125" s="7">
        <f t="shared" si="17"/>
        <v>0</v>
      </c>
      <c r="R125" s="6"/>
      <c r="S125" s="6"/>
      <c r="V125" s="6"/>
      <c r="Z125" s="7">
        <f>N93</f>
        <v>0</v>
      </c>
      <c r="AA125" s="7" t="str">
        <f>N94</f>
        <v>Enter humidity</v>
      </c>
      <c r="AD125" s="7" t="str">
        <f t="shared" si="18"/>
        <v>August</v>
      </c>
      <c r="AE125" s="83" t="str">
        <f t="shared" si="19"/>
        <v/>
      </c>
      <c r="AF125" s="7">
        <f t="shared" si="60"/>
        <v>0</v>
      </c>
      <c r="AG125" s="7">
        <f t="shared" si="20"/>
        <v>0</v>
      </c>
      <c r="AH125" s="7" t="str">
        <f t="shared" si="63"/>
        <v/>
      </c>
      <c r="AI125" s="72" t="str">
        <f t="shared" si="21"/>
        <v/>
      </c>
      <c r="AJ125" s="7">
        <f t="shared" si="61"/>
        <v>0</v>
      </c>
      <c r="AK125" s="7">
        <f t="shared" si="22"/>
        <v>0</v>
      </c>
      <c r="AL125" s="7" t="str">
        <f t="shared" si="62"/>
        <v/>
      </c>
      <c r="AM125" s="71" t="str">
        <f t="shared" si="23"/>
        <v/>
      </c>
      <c r="AN125" s="7">
        <f t="shared" si="38"/>
        <v>0</v>
      </c>
      <c r="AO125" s="7">
        <f t="shared" si="24"/>
        <v>0</v>
      </c>
      <c r="AP125" s="7" t="str">
        <f t="shared" si="39"/>
        <v/>
      </c>
      <c r="AQ125" s="72" t="str">
        <f t="shared" si="25"/>
        <v/>
      </c>
      <c r="AR125" s="7">
        <f t="shared" si="40"/>
        <v>0</v>
      </c>
      <c r="AS125" s="7">
        <f t="shared" si="26"/>
        <v>0</v>
      </c>
      <c r="AT125" s="7" t="str">
        <f t="shared" si="41"/>
        <v/>
      </c>
      <c r="AU125" s="96" t="str">
        <f t="shared" si="42"/>
        <v/>
      </c>
      <c r="AV125" s="7">
        <f t="shared" si="43"/>
        <v>0</v>
      </c>
      <c r="AW125" s="7">
        <f t="shared" si="27"/>
        <v>0</v>
      </c>
      <c r="AX125" s="7" t="str">
        <f t="shared" si="44"/>
        <v/>
      </c>
      <c r="AY125" s="86" t="str">
        <f t="shared" si="28"/>
        <v/>
      </c>
      <c r="AZ125" s="7">
        <f t="shared" si="45"/>
        <v>0</v>
      </c>
      <c r="BA125" s="7">
        <f t="shared" si="29"/>
        <v>0</v>
      </c>
      <c r="BB125" s="7" t="str">
        <f t="shared" si="46"/>
        <v/>
      </c>
      <c r="BC125" s="16" t="str">
        <f t="shared" si="47"/>
        <v/>
      </c>
      <c r="BD125" s="7">
        <f t="shared" si="48"/>
        <v>0</v>
      </c>
      <c r="BE125" s="7">
        <f t="shared" si="30"/>
        <v>0</v>
      </c>
      <c r="BF125" s="7" t="str">
        <f t="shared" si="49"/>
        <v/>
      </c>
      <c r="BG125" s="16" t="str">
        <f t="shared" si="50"/>
        <v/>
      </c>
      <c r="BH125" s="7">
        <f t="shared" si="51"/>
        <v>0</v>
      </c>
      <c r="BI125" s="7">
        <f t="shared" si="31"/>
        <v>0</v>
      </c>
      <c r="BJ125" s="7" t="str">
        <f t="shared" si="52"/>
        <v/>
      </c>
      <c r="BK125" s="92" t="str">
        <f t="shared" si="53"/>
        <v/>
      </c>
      <c r="BL125" s="7">
        <f t="shared" si="54"/>
        <v>0</v>
      </c>
      <c r="BM125" s="7">
        <f t="shared" si="32"/>
        <v>0</v>
      </c>
      <c r="BN125" s="7" t="str">
        <f t="shared" si="55"/>
        <v/>
      </c>
      <c r="BO125" s="72" t="str">
        <f t="shared" si="33"/>
        <v/>
      </c>
      <c r="BP125" s="7">
        <f t="shared" si="56"/>
        <v>0</v>
      </c>
      <c r="BQ125" s="7">
        <f t="shared" si="34"/>
        <v>0</v>
      </c>
      <c r="BR125" s="7" t="str">
        <f t="shared" si="57"/>
        <v/>
      </c>
      <c r="BT125" s="7">
        <f t="shared" si="35"/>
        <v>0</v>
      </c>
      <c r="BU125" s="7" t="str">
        <f t="shared" si="36"/>
        <v>Enter humidity</v>
      </c>
      <c r="BW125" s="6" t="str">
        <f t="shared" si="37"/>
        <v xml:space="preserve">Water is needed for evaporative cooling to work </v>
      </c>
      <c r="BX125" s="73" t="str">
        <f t="shared" si="58"/>
        <v/>
      </c>
      <c r="BY125" s="73" t="str">
        <f t="shared" si="59"/>
        <v>error</v>
      </c>
    </row>
    <row r="126" spans="1:77" ht="32" x14ac:dyDescent="0.2">
      <c r="A126" s="74" t="s">
        <v>36</v>
      </c>
      <c r="B126" s="6">
        <f>$O76</f>
        <v>1</v>
      </c>
      <c r="C126" s="6">
        <f>$O77</f>
        <v>0</v>
      </c>
      <c r="D126" s="6">
        <f>$O78</f>
        <v>0</v>
      </c>
      <c r="E126" s="6">
        <f>$O79</f>
        <v>0</v>
      </c>
      <c r="F126" s="7" t="str">
        <f>'Decision making tool'!O$88</f>
        <v/>
      </c>
      <c r="G126" s="7" t="str">
        <f>'Decision making tool'!O$91</f>
        <v/>
      </c>
      <c r="N126" s="7">
        <f t="shared" si="15"/>
        <v>0</v>
      </c>
      <c r="P126" s="7">
        <f t="shared" si="16"/>
        <v>1</v>
      </c>
      <c r="Q126" s="7">
        <f t="shared" si="17"/>
        <v>0</v>
      </c>
      <c r="R126" s="6"/>
      <c r="S126" s="6"/>
      <c r="V126" s="6"/>
      <c r="Z126" s="7">
        <f>O93</f>
        <v>0</v>
      </c>
      <c r="AA126" s="7" t="str">
        <f>O94</f>
        <v>Enter humidity</v>
      </c>
      <c r="AD126" s="7" t="str">
        <f t="shared" si="18"/>
        <v>September</v>
      </c>
      <c r="AE126" s="83" t="str">
        <f t="shared" si="19"/>
        <v/>
      </c>
      <c r="AF126" s="7">
        <f t="shared" si="60"/>
        <v>0</v>
      </c>
      <c r="AG126" s="7">
        <f t="shared" si="20"/>
        <v>0</v>
      </c>
      <c r="AH126" s="7" t="str">
        <f t="shared" si="63"/>
        <v/>
      </c>
      <c r="AI126" s="72" t="str">
        <f t="shared" si="21"/>
        <v/>
      </c>
      <c r="AJ126" s="7">
        <f t="shared" si="61"/>
        <v>0</v>
      </c>
      <c r="AK126" s="7">
        <f t="shared" si="22"/>
        <v>0</v>
      </c>
      <c r="AL126" s="7" t="str">
        <f t="shared" si="62"/>
        <v/>
      </c>
      <c r="AM126" s="71" t="str">
        <f t="shared" si="23"/>
        <v/>
      </c>
      <c r="AN126" s="7">
        <f t="shared" si="38"/>
        <v>0</v>
      </c>
      <c r="AO126" s="7">
        <f t="shared" si="24"/>
        <v>0</v>
      </c>
      <c r="AP126" s="7" t="str">
        <f t="shared" si="39"/>
        <v/>
      </c>
      <c r="AQ126" s="72" t="str">
        <f t="shared" si="25"/>
        <v/>
      </c>
      <c r="AR126" s="7">
        <f t="shared" si="40"/>
        <v>0</v>
      </c>
      <c r="AS126" s="7">
        <f t="shared" si="26"/>
        <v>0</v>
      </c>
      <c r="AT126" s="7" t="str">
        <f t="shared" si="41"/>
        <v/>
      </c>
      <c r="AU126" s="96" t="str">
        <f t="shared" si="42"/>
        <v/>
      </c>
      <c r="AV126" s="7">
        <f t="shared" si="43"/>
        <v>0</v>
      </c>
      <c r="AW126" s="7">
        <f t="shared" si="27"/>
        <v>0</v>
      </c>
      <c r="AX126" s="7" t="str">
        <f t="shared" si="44"/>
        <v/>
      </c>
      <c r="AY126" s="86" t="str">
        <f t="shared" si="28"/>
        <v/>
      </c>
      <c r="AZ126" s="7">
        <f t="shared" si="45"/>
        <v>0</v>
      </c>
      <c r="BA126" s="7">
        <f t="shared" si="29"/>
        <v>0</v>
      </c>
      <c r="BB126" s="7" t="str">
        <f t="shared" si="46"/>
        <v/>
      </c>
      <c r="BC126" s="16" t="str">
        <f t="shared" si="47"/>
        <v/>
      </c>
      <c r="BD126" s="7">
        <f t="shared" si="48"/>
        <v>0</v>
      </c>
      <c r="BE126" s="7">
        <f t="shared" si="30"/>
        <v>0</v>
      </c>
      <c r="BF126" s="7" t="str">
        <f t="shared" si="49"/>
        <v/>
      </c>
      <c r="BG126" s="16" t="str">
        <f t="shared" si="50"/>
        <v/>
      </c>
      <c r="BH126" s="7">
        <f t="shared" si="51"/>
        <v>0</v>
      </c>
      <c r="BI126" s="7">
        <f t="shared" si="31"/>
        <v>0</v>
      </c>
      <c r="BJ126" s="7" t="str">
        <f t="shared" si="52"/>
        <v/>
      </c>
      <c r="BK126" s="92" t="str">
        <f t="shared" si="53"/>
        <v/>
      </c>
      <c r="BL126" s="7">
        <f t="shared" si="54"/>
        <v>0</v>
      </c>
      <c r="BM126" s="7">
        <f t="shared" si="32"/>
        <v>0</v>
      </c>
      <c r="BN126" s="7" t="str">
        <f t="shared" si="55"/>
        <v/>
      </c>
      <c r="BO126" s="72" t="str">
        <f t="shared" si="33"/>
        <v/>
      </c>
      <c r="BP126" s="7">
        <f t="shared" si="56"/>
        <v>0</v>
      </c>
      <c r="BQ126" s="7">
        <f t="shared" si="34"/>
        <v>0</v>
      </c>
      <c r="BR126" s="7" t="str">
        <f t="shared" si="57"/>
        <v/>
      </c>
      <c r="BT126" s="7">
        <f t="shared" si="35"/>
        <v>0</v>
      </c>
      <c r="BU126" s="7" t="str">
        <f t="shared" si="36"/>
        <v>Enter humidity</v>
      </c>
      <c r="BW126" s="6" t="str">
        <f t="shared" si="37"/>
        <v xml:space="preserve">Water is needed for evaporative cooling to work </v>
      </c>
      <c r="BX126" s="73" t="str">
        <f t="shared" si="58"/>
        <v/>
      </c>
      <c r="BY126" s="73" t="str">
        <f t="shared" si="59"/>
        <v>error</v>
      </c>
    </row>
    <row r="127" spans="1:77" ht="32" x14ac:dyDescent="0.2">
      <c r="A127" s="74" t="s">
        <v>25</v>
      </c>
      <c r="B127" s="6">
        <f>$P76</f>
        <v>1</v>
      </c>
      <c r="C127" s="6">
        <f>$P77</f>
        <v>0</v>
      </c>
      <c r="D127" s="6">
        <f>$P78</f>
        <v>0</v>
      </c>
      <c r="E127" s="6">
        <f>$P79</f>
        <v>0</v>
      </c>
      <c r="F127" s="7" t="str">
        <f>'Decision making tool'!P$88</f>
        <v/>
      </c>
      <c r="G127" s="7" t="str">
        <f>'Decision making tool'!P$91</f>
        <v/>
      </c>
      <c r="N127" s="7">
        <f t="shared" si="15"/>
        <v>0</v>
      </c>
      <c r="P127" s="7">
        <f t="shared" si="16"/>
        <v>1</v>
      </c>
      <c r="Q127" s="7">
        <f t="shared" si="17"/>
        <v>0</v>
      </c>
      <c r="R127" s="6"/>
      <c r="S127" s="6"/>
      <c r="V127" s="6"/>
      <c r="Z127" s="7">
        <f>P93</f>
        <v>0</v>
      </c>
      <c r="AA127" s="7" t="str">
        <f>P94</f>
        <v>Enter humidity</v>
      </c>
      <c r="AD127" s="7" t="str">
        <f t="shared" si="18"/>
        <v>October</v>
      </c>
      <c r="AE127" s="83" t="str">
        <f t="shared" si="19"/>
        <v/>
      </c>
      <c r="AF127" s="7">
        <f t="shared" si="60"/>
        <v>0</v>
      </c>
      <c r="AG127" s="7">
        <f t="shared" si="20"/>
        <v>0</v>
      </c>
      <c r="AH127" s="7" t="str">
        <f t="shared" si="63"/>
        <v/>
      </c>
      <c r="AI127" s="72" t="str">
        <f t="shared" si="21"/>
        <v/>
      </c>
      <c r="AJ127" s="7">
        <f t="shared" si="61"/>
        <v>0</v>
      </c>
      <c r="AK127" s="7">
        <f t="shared" si="22"/>
        <v>0</v>
      </c>
      <c r="AL127" s="7" t="str">
        <f t="shared" si="62"/>
        <v/>
      </c>
      <c r="AM127" s="71" t="str">
        <f t="shared" si="23"/>
        <v/>
      </c>
      <c r="AN127" s="7">
        <f t="shared" si="38"/>
        <v>0</v>
      </c>
      <c r="AO127" s="7">
        <f t="shared" si="24"/>
        <v>0</v>
      </c>
      <c r="AP127" s="7" t="str">
        <f t="shared" si="39"/>
        <v/>
      </c>
      <c r="AQ127" s="72" t="str">
        <f t="shared" si="25"/>
        <v/>
      </c>
      <c r="AR127" s="7">
        <f t="shared" si="40"/>
        <v>0</v>
      </c>
      <c r="AS127" s="7">
        <f t="shared" si="26"/>
        <v>0</v>
      </c>
      <c r="AT127" s="7" t="str">
        <f t="shared" si="41"/>
        <v/>
      </c>
      <c r="AU127" s="96" t="str">
        <f t="shared" si="42"/>
        <v/>
      </c>
      <c r="AV127" s="7">
        <f t="shared" si="43"/>
        <v>0</v>
      </c>
      <c r="AW127" s="7">
        <f t="shared" si="27"/>
        <v>0</v>
      </c>
      <c r="AX127" s="7" t="str">
        <f t="shared" si="44"/>
        <v/>
      </c>
      <c r="AY127" s="86" t="str">
        <f t="shared" si="28"/>
        <v/>
      </c>
      <c r="AZ127" s="7">
        <f t="shared" si="45"/>
        <v>0</v>
      </c>
      <c r="BA127" s="7">
        <f t="shared" si="29"/>
        <v>0</v>
      </c>
      <c r="BB127" s="7" t="str">
        <f t="shared" si="46"/>
        <v/>
      </c>
      <c r="BC127" s="16" t="str">
        <f t="shared" si="47"/>
        <v/>
      </c>
      <c r="BD127" s="7">
        <f t="shared" si="48"/>
        <v>0</v>
      </c>
      <c r="BE127" s="7">
        <f t="shared" si="30"/>
        <v>0</v>
      </c>
      <c r="BF127" s="7" t="str">
        <f t="shared" si="49"/>
        <v/>
      </c>
      <c r="BG127" s="16" t="str">
        <f t="shared" si="50"/>
        <v/>
      </c>
      <c r="BH127" s="7">
        <f t="shared" si="51"/>
        <v>0</v>
      </c>
      <c r="BI127" s="7">
        <f t="shared" si="31"/>
        <v>0</v>
      </c>
      <c r="BJ127" s="7" t="str">
        <f t="shared" si="52"/>
        <v/>
      </c>
      <c r="BK127" s="92" t="str">
        <f t="shared" si="53"/>
        <v/>
      </c>
      <c r="BL127" s="7">
        <f t="shared" si="54"/>
        <v>0</v>
      </c>
      <c r="BM127" s="7">
        <f t="shared" si="32"/>
        <v>0</v>
      </c>
      <c r="BN127" s="7" t="str">
        <f t="shared" si="55"/>
        <v/>
      </c>
      <c r="BO127" s="72" t="str">
        <f t="shared" si="33"/>
        <v/>
      </c>
      <c r="BP127" s="7">
        <f t="shared" si="56"/>
        <v>0</v>
      </c>
      <c r="BQ127" s="7">
        <f t="shared" si="34"/>
        <v>0</v>
      </c>
      <c r="BR127" s="7" t="str">
        <f t="shared" si="57"/>
        <v/>
      </c>
      <c r="BT127" s="7">
        <f t="shared" si="35"/>
        <v>0</v>
      </c>
      <c r="BU127" s="7" t="str">
        <f t="shared" si="36"/>
        <v>Enter humidity</v>
      </c>
      <c r="BW127" s="6" t="str">
        <f t="shared" si="37"/>
        <v xml:space="preserve">Water is needed for evaporative cooling to work </v>
      </c>
      <c r="BX127" s="73" t="str">
        <f t="shared" si="58"/>
        <v/>
      </c>
      <c r="BY127" s="73" t="str">
        <f t="shared" si="59"/>
        <v>error</v>
      </c>
    </row>
    <row r="128" spans="1:77" ht="32" x14ac:dyDescent="0.2">
      <c r="A128" s="74" t="s">
        <v>26</v>
      </c>
      <c r="B128" s="6">
        <f>$Q76</f>
        <v>1</v>
      </c>
      <c r="C128" s="6">
        <f>$Q77</f>
        <v>0</v>
      </c>
      <c r="D128" s="6">
        <f>$Q78</f>
        <v>0</v>
      </c>
      <c r="E128" s="6">
        <f>$Q79</f>
        <v>0</v>
      </c>
      <c r="F128" s="7" t="str">
        <f>'Decision making tool'!Q$88</f>
        <v/>
      </c>
      <c r="G128" s="7" t="str">
        <f>'Decision making tool'!Q$91</f>
        <v/>
      </c>
      <c r="N128" s="7">
        <f t="shared" si="15"/>
        <v>0</v>
      </c>
      <c r="P128" s="7">
        <f t="shared" si="16"/>
        <v>1</v>
      </c>
      <c r="Q128" s="7">
        <f t="shared" si="17"/>
        <v>0</v>
      </c>
      <c r="R128" s="6"/>
      <c r="S128" s="6"/>
      <c r="V128" s="6"/>
      <c r="Z128" s="7">
        <f>Q93</f>
        <v>0</v>
      </c>
      <c r="AA128" s="7" t="str">
        <f>Q94</f>
        <v>Enter humidity</v>
      </c>
      <c r="AD128" s="7" t="str">
        <f t="shared" si="18"/>
        <v>November</v>
      </c>
      <c r="AE128" s="83" t="str">
        <f t="shared" si="19"/>
        <v/>
      </c>
      <c r="AF128" s="7">
        <f>IF(AE128="",AF127,AF127+1)</f>
        <v>0</v>
      </c>
      <c r="AG128" s="7">
        <f>IF(AE128="",AG129,AG129+1)</f>
        <v>0</v>
      </c>
      <c r="AH128" s="7" t="str">
        <f t="shared" si="63"/>
        <v/>
      </c>
      <c r="AI128" s="72" t="str">
        <f t="shared" si="21"/>
        <v/>
      </c>
      <c r="AJ128" s="7">
        <f>IF(AI128="",AJ127,AJ127+1)</f>
        <v>0</v>
      </c>
      <c r="AK128" s="7">
        <f>IF(AI128="",AK129,AK129+1)</f>
        <v>0</v>
      </c>
      <c r="AL128" s="7" t="str">
        <f t="shared" si="62"/>
        <v/>
      </c>
      <c r="AM128" s="71" t="str">
        <f t="shared" si="23"/>
        <v/>
      </c>
      <c r="AN128" s="7">
        <f t="shared" si="38"/>
        <v>0</v>
      </c>
      <c r="AO128" s="7">
        <f t="shared" si="24"/>
        <v>0</v>
      </c>
      <c r="AP128" s="7" t="str">
        <f t="shared" si="39"/>
        <v/>
      </c>
      <c r="AQ128" s="72" t="str">
        <f t="shared" si="25"/>
        <v/>
      </c>
      <c r="AR128" s="7">
        <f t="shared" si="40"/>
        <v>0</v>
      </c>
      <c r="AS128" s="7">
        <f t="shared" si="26"/>
        <v>0</v>
      </c>
      <c r="AT128" s="7" t="str">
        <f t="shared" si="41"/>
        <v/>
      </c>
      <c r="AU128" s="96" t="str">
        <f t="shared" si="42"/>
        <v/>
      </c>
      <c r="AV128" s="7">
        <f t="shared" si="43"/>
        <v>0</v>
      </c>
      <c r="AW128" s="7">
        <f t="shared" si="27"/>
        <v>0</v>
      </c>
      <c r="AX128" s="7" t="str">
        <f t="shared" si="44"/>
        <v/>
      </c>
      <c r="AY128" s="86" t="str">
        <f t="shared" si="28"/>
        <v/>
      </c>
      <c r="AZ128" s="7">
        <f t="shared" si="45"/>
        <v>0</v>
      </c>
      <c r="BA128" s="7">
        <f t="shared" si="29"/>
        <v>0</v>
      </c>
      <c r="BB128" s="7" t="str">
        <f t="shared" si="46"/>
        <v/>
      </c>
      <c r="BC128" s="16" t="str">
        <f t="shared" si="47"/>
        <v/>
      </c>
      <c r="BD128" s="7">
        <f t="shared" si="48"/>
        <v>0</v>
      </c>
      <c r="BE128" s="7">
        <f t="shared" si="30"/>
        <v>0</v>
      </c>
      <c r="BF128" s="7" t="str">
        <f t="shared" si="49"/>
        <v/>
      </c>
      <c r="BG128" s="16" t="str">
        <f t="shared" si="50"/>
        <v/>
      </c>
      <c r="BH128" s="7">
        <f t="shared" si="51"/>
        <v>0</v>
      </c>
      <c r="BI128" s="7">
        <f t="shared" si="31"/>
        <v>0</v>
      </c>
      <c r="BJ128" s="7" t="str">
        <f t="shared" si="52"/>
        <v/>
      </c>
      <c r="BK128" s="92" t="str">
        <f t="shared" si="53"/>
        <v/>
      </c>
      <c r="BL128" s="7">
        <f t="shared" si="54"/>
        <v>0</v>
      </c>
      <c r="BM128" s="7">
        <f t="shared" si="32"/>
        <v>0</v>
      </c>
      <c r="BN128" s="7" t="str">
        <f t="shared" si="55"/>
        <v/>
      </c>
      <c r="BO128" s="72" t="str">
        <f t="shared" si="33"/>
        <v/>
      </c>
      <c r="BP128" s="7">
        <f t="shared" si="56"/>
        <v>0</v>
      </c>
      <c r="BQ128" s="7">
        <f t="shared" si="34"/>
        <v>0</v>
      </c>
      <c r="BR128" s="7" t="str">
        <f t="shared" si="57"/>
        <v/>
      </c>
      <c r="BT128" s="7">
        <f t="shared" si="35"/>
        <v>0</v>
      </c>
      <c r="BU128" s="7" t="str">
        <f t="shared" si="36"/>
        <v>Enter humidity</v>
      </c>
      <c r="BW128" s="6" t="str">
        <f t="shared" si="37"/>
        <v xml:space="preserve">Water is needed for evaporative cooling to work </v>
      </c>
      <c r="BX128" s="73" t="str">
        <f t="shared" si="58"/>
        <v/>
      </c>
      <c r="BY128" s="73" t="str">
        <f t="shared" si="59"/>
        <v>error</v>
      </c>
    </row>
    <row r="129" spans="1:77" ht="32" x14ac:dyDescent="0.2">
      <c r="A129" s="75" t="s">
        <v>27</v>
      </c>
      <c r="B129" s="6">
        <f>$R76</f>
        <v>1</v>
      </c>
      <c r="C129" s="6">
        <f>$R77</f>
        <v>0</v>
      </c>
      <c r="D129" s="6">
        <f>$R78</f>
        <v>0</v>
      </c>
      <c r="E129" s="6">
        <f>$R79</f>
        <v>0</v>
      </c>
      <c r="F129" s="7" t="str">
        <f>'Decision making tool'!R$88</f>
        <v/>
      </c>
      <c r="G129" s="7" t="str">
        <f>'Decision making tool'!R$91</f>
        <v/>
      </c>
      <c r="N129" s="7">
        <f t="shared" si="15"/>
        <v>0</v>
      </c>
      <c r="P129" s="7">
        <f t="shared" si="16"/>
        <v>1</v>
      </c>
      <c r="Q129" s="7">
        <f t="shared" si="17"/>
        <v>0</v>
      </c>
      <c r="R129" s="6"/>
      <c r="S129" s="6"/>
      <c r="V129" s="6"/>
      <c r="Z129" s="7">
        <f>R93</f>
        <v>0</v>
      </c>
      <c r="AA129" s="7" t="str">
        <f>R94</f>
        <v>Enter humidity</v>
      </c>
      <c r="AD129" s="7" t="str">
        <f t="shared" si="18"/>
        <v>December</v>
      </c>
      <c r="AE129" s="83" t="str">
        <f t="shared" si="19"/>
        <v/>
      </c>
      <c r="AF129" s="7">
        <f t="shared" si="60"/>
        <v>0</v>
      </c>
      <c r="AG129" s="7">
        <f>IF(AE129="",0,1)</f>
        <v>0</v>
      </c>
      <c r="AH129" s="7" t="str">
        <f>IF(AE129="","",IF(AF128=0,AE129,IF(AG130&gt;0,", "&amp;AE129&amp;"",", and "&amp;AE129&amp;"")))</f>
        <v/>
      </c>
      <c r="AI129" s="72" t="str">
        <f t="shared" si="21"/>
        <v/>
      </c>
      <c r="AJ129" s="7">
        <f t="shared" ref="AJ129" si="64">IF(AI129="",AJ128,AJ128+1)</f>
        <v>0</v>
      </c>
      <c r="AK129" s="7">
        <f>IF(AI129="",0,1)</f>
        <v>0</v>
      </c>
      <c r="AL129" s="7" t="str">
        <f>IF(AI129="","",IF(AJ128=0,AI129,IF(AK130&gt;0,", "&amp;AI129&amp;"",", and "&amp;AI129&amp;"")))</f>
        <v/>
      </c>
      <c r="AM129" s="71" t="str">
        <f t="shared" si="23"/>
        <v/>
      </c>
      <c r="AN129" s="7">
        <f t="shared" si="38"/>
        <v>0</v>
      </c>
      <c r="AO129" s="7">
        <f>IF(AM129="",0,1)</f>
        <v>0</v>
      </c>
      <c r="AP129" s="7" t="str">
        <f>IF(AM129="","",IF(AN128=0,AM129,IF(AO130&gt;0,", "&amp;AM129&amp;"",", and "&amp;AM129&amp;"")))</f>
        <v/>
      </c>
      <c r="AQ129" s="72" t="str">
        <f t="shared" si="25"/>
        <v/>
      </c>
      <c r="AR129" s="7">
        <f t="shared" si="40"/>
        <v>0</v>
      </c>
      <c r="AS129" s="7">
        <f>IF(AQ129="",0,1)</f>
        <v>0</v>
      </c>
      <c r="AT129" s="7" t="str">
        <f>IF(AQ129="","",IF(AR128=0,AQ129,IF(AS130&gt;0,", "&amp;AQ129&amp;"",", and "&amp;AQ129&amp;"")))</f>
        <v/>
      </c>
      <c r="AU129" s="96" t="str">
        <f t="shared" si="42"/>
        <v/>
      </c>
      <c r="AV129" s="7">
        <f t="shared" si="43"/>
        <v>0</v>
      </c>
      <c r="AW129" s="7">
        <f>IF(AU129="",0,1)</f>
        <v>0</v>
      </c>
      <c r="AX129" s="7" t="str">
        <f>IF(AU129="","",IF(AV128=0,AU129,IF(AW130&gt;0,", "&amp;AU129&amp;"",", and "&amp;AU129&amp;"")))</f>
        <v/>
      </c>
      <c r="AY129" s="86" t="str">
        <f t="shared" si="28"/>
        <v/>
      </c>
      <c r="AZ129" s="7">
        <f t="shared" si="45"/>
        <v>0</v>
      </c>
      <c r="BA129" s="7">
        <f>IF(AY129="",0,1)</f>
        <v>0</v>
      </c>
      <c r="BB129" s="7" t="str">
        <f>IF(AY129="","",IF(AZ128=0,AY129,IF(BA130&gt;0,", "&amp;AY129&amp;"",", and "&amp;AY129&amp;"")))</f>
        <v/>
      </c>
      <c r="BC129" s="16" t="str">
        <f t="shared" si="47"/>
        <v/>
      </c>
      <c r="BD129" s="7">
        <f t="shared" si="48"/>
        <v>0</v>
      </c>
      <c r="BE129" s="7">
        <f>IF(BC129="",0,1)</f>
        <v>0</v>
      </c>
      <c r="BF129" s="7" t="str">
        <f>IF(BC129="","",IF(BD128=0,BC129,IF(BE130&gt;0,", "&amp;BC129&amp;"",", and "&amp;BC129&amp;"")))</f>
        <v/>
      </c>
      <c r="BG129" s="16" t="str">
        <f t="shared" si="50"/>
        <v/>
      </c>
      <c r="BH129" s="7">
        <f t="shared" si="51"/>
        <v>0</v>
      </c>
      <c r="BI129" s="7">
        <f>IF(BG129="",0,1)</f>
        <v>0</v>
      </c>
      <c r="BJ129" s="7" t="str">
        <f>IF(BG129="","",IF(BH128=0,BG129,IF(BI130&gt;0,", "&amp;BG129&amp;"",", and "&amp;BG129&amp;"")))</f>
        <v/>
      </c>
      <c r="BK129" s="92" t="str">
        <f>IF($G129="","",IF($G129&gt;0,$AD129,""))</f>
        <v/>
      </c>
      <c r="BL129" s="7">
        <f t="shared" si="54"/>
        <v>0</v>
      </c>
      <c r="BM129" s="7">
        <f>IF(BK129="",0,1)</f>
        <v>0</v>
      </c>
      <c r="BN129" s="7" t="str">
        <f>IF(BK129="","",IF(BL128=0,BK129,IF(BM130&gt;0,", "&amp;BK129&amp;"",", and "&amp;BK129&amp;"")))</f>
        <v/>
      </c>
      <c r="BO129" s="72" t="str">
        <f t="shared" si="33"/>
        <v/>
      </c>
      <c r="BP129" s="7">
        <f t="shared" si="56"/>
        <v>0</v>
      </c>
      <c r="BQ129" s="7">
        <f>IF(BO129="",0,1)</f>
        <v>0</v>
      </c>
      <c r="BR129" s="7" t="str">
        <f>IF(BO129="","",IF(BP128=0,BO129,IF(BQ130&gt;0,", "&amp;BO129&amp;"",", and "&amp;BO129&amp;"")))</f>
        <v/>
      </c>
      <c r="BT129" s="7">
        <f t="shared" si="35"/>
        <v>0</v>
      </c>
      <c r="BU129" s="7" t="str">
        <f t="shared" si="36"/>
        <v>Enter humidity</v>
      </c>
      <c r="BW129" s="6" t="str">
        <f t="shared" si="37"/>
        <v xml:space="preserve">Water is needed for evaporative cooling to work </v>
      </c>
      <c r="BX129" s="73" t="str">
        <f t="shared" si="58"/>
        <v/>
      </c>
      <c r="BY129" s="73" t="str">
        <f t="shared" si="59"/>
        <v>error</v>
      </c>
    </row>
    <row r="130" spans="1:77" x14ac:dyDescent="0.2">
      <c r="A130" s="6"/>
      <c r="F130" s="6"/>
      <c r="G130" s="6"/>
      <c r="H130" s="6"/>
      <c r="I130" s="6"/>
      <c r="J130" s="6"/>
      <c r="K130" s="6"/>
      <c r="L130" s="6"/>
      <c r="Q130" s="6"/>
      <c r="R130" s="6"/>
      <c r="S130" s="6"/>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W130" s="33"/>
      <c r="BX130" s="33"/>
      <c r="BY130" s="33"/>
    </row>
    <row r="131" spans="1:77" x14ac:dyDescent="0.2">
      <c r="A131" s="6"/>
      <c r="F131" s="6"/>
      <c r="G131" s="6"/>
      <c r="H131" s="6"/>
      <c r="I131" s="6"/>
      <c r="J131" s="6"/>
      <c r="K131" s="6"/>
      <c r="L131" s="6"/>
      <c r="Q131" s="6"/>
      <c r="R131" s="6"/>
      <c r="S131" s="6"/>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W131" s="33"/>
      <c r="BX131" s="33"/>
      <c r="BY131" s="33"/>
    </row>
    <row r="132" spans="1:77" x14ac:dyDescent="0.2">
      <c r="A132" s="6"/>
      <c r="F132" s="6"/>
      <c r="G132" s="6"/>
      <c r="H132" s="6"/>
      <c r="I132" s="6"/>
      <c r="J132" s="6"/>
      <c r="K132" s="6"/>
      <c r="L132" s="6"/>
      <c r="Q132" s="6"/>
      <c r="R132" s="6"/>
      <c r="S132" s="6"/>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W132" s="33"/>
      <c r="BX132" s="33"/>
      <c r="BY132" s="33"/>
    </row>
    <row r="133" spans="1:77" x14ac:dyDescent="0.2">
      <c r="A133" s="6"/>
      <c r="F133" s="6"/>
      <c r="G133" s="6"/>
      <c r="H133" s="6"/>
      <c r="I133" s="6"/>
      <c r="J133" s="6"/>
      <c r="K133" s="6"/>
      <c r="L133" s="6"/>
      <c r="Q133" s="6"/>
      <c r="R133" s="6"/>
      <c r="S133" s="6"/>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W133" s="33"/>
      <c r="BX133" s="33"/>
      <c r="BY133" s="33"/>
    </row>
    <row r="134" spans="1:77" x14ac:dyDescent="0.2">
      <c r="A134" s="6"/>
      <c r="B134" s="422" t="s">
        <v>158</v>
      </c>
      <c r="C134" s="423"/>
      <c r="D134" s="423"/>
      <c r="E134" s="423"/>
      <c r="F134" s="423"/>
      <c r="G134" s="423"/>
      <c r="H134" s="423"/>
      <c r="I134" s="423"/>
      <c r="J134" s="423"/>
      <c r="K134" s="424"/>
      <c r="L134" s="6"/>
      <c r="Q134" s="6"/>
      <c r="R134" s="6"/>
      <c r="S134" s="6"/>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W134" s="33"/>
      <c r="BX134" s="33"/>
      <c r="BY134" s="33"/>
    </row>
    <row r="135" spans="1:77" x14ac:dyDescent="0.2">
      <c r="A135" s="6" t="s">
        <v>141</v>
      </c>
      <c r="B135" s="425" t="str">
        <f>AH117</f>
        <v/>
      </c>
      <c r="C135" s="426"/>
      <c r="D135" s="426"/>
      <c r="E135" s="426"/>
      <c r="F135" s="426"/>
      <c r="G135" s="426"/>
      <c r="H135" s="426"/>
      <c r="I135" s="426"/>
      <c r="J135" s="426"/>
      <c r="K135" s="427"/>
      <c r="L135" s="6"/>
      <c r="Q135" s="6"/>
      <c r="R135" s="6"/>
      <c r="S135" s="6"/>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W135" s="33"/>
      <c r="BX135" s="33"/>
      <c r="BY135" s="33"/>
    </row>
    <row r="136" spans="1:77" x14ac:dyDescent="0.2">
      <c r="A136" s="6" t="s">
        <v>122</v>
      </c>
      <c r="B136" s="425" t="str">
        <f>AP117</f>
        <v/>
      </c>
      <c r="C136" s="426"/>
      <c r="D136" s="426"/>
      <c r="E136" s="426"/>
      <c r="F136" s="426"/>
      <c r="G136" s="426"/>
      <c r="H136" s="426"/>
      <c r="I136" s="426"/>
      <c r="J136" s="426"/>
      <c r="K136" s="427"/>
      <c r="L136" s="6"/>
      <c r="Q136" s="6"/>
      <c r="R136" s="6"/>
      <c r="S136" s="6"/>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W136" s="33"/>
      <c r="BX136" s="33"/>
      <c r="BY136" s="33"/>
    </row>
    <row r="137" spans="1:77" x14ac:dyDescent="0.2">
      <c r="A137" s="6" t="s">
        <v>142</v>
      </c>
      <c r="B137" s="425" t="str">
        <f>AL117</f>
        <v/>
      </c>
      <c r="C137" s="426"/>
      <c r="D137" s="426"/>
      <c r="E137" s="426"/>
      <c r="F137" s="426"/>
      <c r="G137" s="426"/>
      <c r="H137" s="426"/>
      <c r="I137" s="426"/>
      <c r="J137" s="426"/>
      <c r="K137" s="427"/>
      <c r="L137" s="6"/>
      <c r="Q137" s="6"/>
      <c r="R137" s="6"/>
      <c r="S137" s="6"/>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W137" s="33"/>
      <c r="BX137" s="33"/>
      <c r="BY137" s="33"/>
    </row>
    <row r="138" spans="1:77" x14ac:dyDescent="0.2">
      <c r="A138" s="6" t="s">
        <v>143</v>
      </c>
      <c r="B138" s="425" t="str">
        <f>AT117</f>
        <v/>
      </c>
      <c r="C138" s="426"/>
      <c r="D138" s="426"/>
      <c r="E138" s="426"/>
      <c r="F138" s="426"/>
      <c r="G138" s="426"/>
      <c r="H138" s="426"/>
      <c r="I138" s="426"/>
      <c r="J138" s="426"/>
      <c r="K138" s="427"/>
      <c r="L138" s="6"/>
      <c r="Q138" s="6"/>
      <c r="R138" s="6"/>
      <c r="S138" s="6"/>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W138" s="33"/>
      <c r="BX138" s="33"/>
      <c r="BY138" s="33"/>
    </row>
    <row r="139" spans="1:77" x14ac:dyDescent="0.2">
      <c r="A139" s="6" t="s">
        <v>144</v>
      </c>
      <c r="B139" s="428" t="str">
        <f>BB117</f>
        <v/>
      </c>
      <c r="C139" s="429"/>
      <c r="D139" s="429"/>
      <c r="E139" s="429"/>
      <c r="F139" s="429"/>
      <c r="G139" s="429"/>
      <c r="H139" s="429"/>
      <c r="I139" s="429"/>
      <c r="J139" s="429"/>
      <c r="K139" s="430"/>
      <c r="L139" s="6"/>
      <c r="Q139" s="6"/>
      <c r="R139" s="6"/>
      <c r="S139" s="6"/>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W139" s="33"/>
      <c r="BX139" s="33"/>
      <c r="BY139" s="33"/>
    </row>
    <row r="140" spans="1:77" x14ac:dyDescent="0.2">
      <c r="A140" s="6"/>
      <c r="B140" s="94"/>
      <c r="C140" s="94"/>
      <c r="D140" s="94"/>
      <c r="E140" s="94"/>
      <c r="F140" s="94"/>
      <c r="G140" s="94"/>
      <c r="H140" s="94"/>
      <c r="I140" s="94"/>
      <c r="J140" s="94"/>
      <c r="K140" s="94"/>
      <c r="L140" s="6"/>
      <c r="Q140" s="6"/>
      <c r="R140" s="6"/>
      <c r="S140" s="6"/>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W140" s="33"/>
      <c r="BX140" s="33"/>
      <c r="BY140" s="33"/>
    </row>
    <row r="141" spans="1:77" x14ac:dyDescent="0.2">
      <c r="A141" s="6"/>
      <c r="B141" s="94"/>
      <c r="C141" s="94"/>
      <c r="D141" s="94"/>
      <c r="E141" s="94"/>
      <c r="F141" s="94"/>
      <c r="G141" s="94"/>
      <c r="H141" s="94"/>
      <c r="I141" s="94"/>
      <c r="J141" s="94"/>
      <c r="K141" s="94"/>
      <c r="L141" s="6"/>
      <c r="Q141" s="6"/>
      <c r="R141" s="6"/>
      <c r="S141" s="6"/>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W141" s="33"/>
      <c r="BX141" s="33"/>
      <c r="BY141" s="33"/>
    </row>
    <row r="142" spans="1:77" x14ac:dyDescent="0.2">
      <c r="A142" s="6"/>
      <c r="B142" s="431" t="s">
        <v>181</v>
      </c>
      <c r="C142" s="432"/>
      <c r="D142" s="432"/>
      <c r="E142" s="432"/>
      <c r="F142" s="432"/>
      <c r="G142" s="432"/>
      <c r="H142" s="432"/>
      <c r="I142" s="432"/>
      <c r="J142" s="432"/>
      <c r="K142" s="433"/>
      <c r="L142" s="6"/>
      <c r="Q142" s="6"/>
      <c r="R142" s="6"/>
      <c r="S142" s="6"/>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W142" s="33"/>
      <c r="BX142" s="33"/>
      <c r="BY142" s="33"/>
    </row>
    <row r="143" spans="1:77" x14ac:dyDescent="0.2">
      <c r="A143" s="6" t="s">
        <v>145</v>
      </c>
      <c r="B143" s="425" t="str">
        <f>E44</f>
        <v/>
      </c>
      <c r="C143" s="426"/>
      <c r="D143" s="426"/>
      <c r="E143" s="426"/>
      <c r="F143" s="426"/>
      <c r="G143" s="426"/>
      <c r="H143" s="426"/>
      <c r="I143" s="426"/>
      <c r="J143" s="426"/>
      <c r="K143" s="427"/>
      <c r="L143" s="6"/>
      <c r="Q143" s="89"/>
      <c r="R143" s="6"/>
      <c r="S143" s="6"/>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W143" s="33"/>
      <c r="BX143" s="33"/>
      <c r="BY143" s="33"/>
    </row>
    <row r="144" spans="1:77" ht="15" customHeight="1" x14ac:dyDescent="0.2">
      <c r="A144" s="6" t="s">
        <v>146</v>
      </c>
      <c r="B144" s="416" t="str">
        <f>L44</f>
        <v>Enter the amount of money that is spent each month due to inadequate vegetable storage (See Question 6)</v>
      </c>
      <c r="C144" s="417"/>
      <c r="D144" s="417"/>
      <c r="E144" s="417"/>
      <c r="F144" s="417"/>
      <c r="G144" s="417"/>
      <c r="H144" s="417"/>
      <c r="I144" s="417"/>
      <c r="J144" s="417"/>
      <c r="K144" s="418"/>
      <c r="L144" s="6"/>
      <c r="Q144" s="6"/>
      <c r="R144" s="6"/>
      <c r="S144" s="6"/>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W144" s="33"/>
      <c r="BX144" s="33"/>
      <c r="BY144" s="33"/>
    </row>
    <row r="145" spans="1:77" ht="15" customHeight="1" x14ac:dyDescent="0.2">
      <c r="A145" s="6" t="s">
        <v>147</v>
      </c>
      <c r="B145" s="416" t="str">
        <f>BN117</f>
        <v/>
      </c>
      <c r="C145" s="417"/>
      <c r="D145" s="417"/>
      <c r="E145" s="417"/>
      <c r="F145" s="417"/>
      <c r="G145" s="417"/>
      <c r="H145" s="417"/>
      <c r="I145" s="417"/>
      <c r="J145" s="417"/>
      <c r="K145" s="418"/>
      <c r="L145" s="6"/>
      <c r="Q145" s="6"/>
      <c r="R145" s="6"/>
      <c r="S145" s="6"/>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W145" s="33"/>
      <c r="BX145" s="33"/>
      <c r="BY145" s="33"/>
    </row>
    <row r="146" spans="1:77" ht="15" customHeight="1" x14ac:dyDescent="0.2">
      <c r="A146" s="6" t="s">
        <v>148</v>
      </c>
      <c r="B146" s="419" t="str">
        <f>G44</f>
        <v>Enter the amount of vegetables that need to be stored to see more information about a suitable evaporative cooling device (See Question 5)</v>
      </c>
      <c r="C146" s="420"/>
      <c r="D146" s="420"/>
      <c r="E146" s="420"/>
      <c r="F146" s="420"/>
      <c r="G146" s="420"/>
      <c r="H146" s="420"/>
      <c r="I146" s="420"/>
      <c r="J146" s="420"/>
      <c r="K146" s="421"/>
      <c r="L146" s="6"/>
      <c r="Q146" s="6"/>
      <c r="R146" s="6"/>
      <c r="S146" s="6"/>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W146" s="33"/>
      <c r="BX146" s="33"/>
      <c r="BY146" s="33"/>
    </row>
    <row r="147" spans="1:77" ht="15" customHeight="1" x14ac:dyDescent="0.2">
      <c r="A147" s="6"/>
      <c r="B147" s="5"/>
      <c r="C147" s="5"/>
      <c r="D147" s="5"/>
      <c r="E147" s="5"/>
      <c r="F147" s="5"/>
      <c r="G147" s="5"/>
      <c r="H147" s="5"/>
      <c r="I147" s="5"/>
      <c r="J147" s="5"/>
      <c r="K147" s="5"/>
      <c r="L147" s="6"/>
      <c r="Q147" s="6"/>
      <c r="R147" s="6"/>
      <c r="S147" s="6"/>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W147" s="33"/>
      <c r="BX147" s="33"/>
      <c r="BY147" s="33"/>
    </row>
    <row r="148" spans="1:77" ht="15" customHeight="1" x14ac:dyDescent="0.2">
      <c r="A148" s="6"/>
      <c r="B148" s="5"/>
      <c r="C148" s="5"/>
      <c r="D148" s="5"/>
      <c r="E148" s="5"/>
      <c r="F148" s="5"/>
      <c r="G148" s="5"/>
      <c r="H148" s="5"/>
      <c r="I148" s="5"/>
      <c r="J148" s="5"/>
      <c r="K148" s="5"/>
      <c r="L148" s="6"/>
      <c r="Q148" s="6"/>
      <c r="R148" s="6"/>
      <c r="S148" s="6"/>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W148" s="33"/>
      <c r="BX148" s="33"/>
      <c r="BY148" s="33"/>
    </row>
    <row r="149" spans="1:77" ht="15" customHeight="1" x14ac:dyDescent="0.2">
      <c r="A149" s="6"/>
      <c r="B149" s="422" t="s">
        <v>159</v>
      </c>
      <c r="C149" s="423"/>
      <c r="D149" s="423"/>
      <c r="E149" s="423"/>
      <c r="F149" s="423"/>
      <c r="G149" s="423"/>
      <c r="H149" s="423"/>
      <c r="I149" s="423"/>
      <c r="J149" s="423"/>
      <c r="K149" s="424"/>
      <c r="L149" s="6"/>
      <c r="Q149" s="6"/>
      <c r="R149" s="6"/>
      <c r="S149" s="6"/>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W149" s="33"/>
      <c r="BX149" s="33"/>
      <c r="BY149" s="33"/>
    </row>
    <row r="150" spans="1:77" ht="32" x14ac:dyDescent="0.2">
      <c r="A150" s="6" t="s">
        <v>150</v>
      </c>
      <c r="B150" s="416" t="str">
        <f>H44</f>
        <v/>
      </c>
      <c r="C150" s="417"/>
      <c r="D150" s="417"/>
      <c r="E150" s="417"/>
      <c r="F150" s="417"/>
      <c r="G150" s="417"/>
      <c r="H150" s="417"/>
      <c r="I150" s="417"/>
      <c r="J150" s="417"/>
      <c r="K150" s="418"/>
      <c r="L150" s="6"/>
      <c r="Q150" s="6"/>
      <c r="R150" s="6"/>
      <c r="S150" s="6"/>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W150" s="33"/>
      <c r="BX150" s="33"/>
      <c r="BY150" s="33"/>
    </row>
    <row r="151" spans="1:77" x14ac:dyDescent="0.2">
      <c r="A151" s="6" t="s">
        <v>149</v>
      </c>
      <c r="B151" s="416">
        <v>151</v>
      </c>
      <c r="C151" s="417"/>
      <c r="D151" s="417"/>
      <c r="E151" s="417"/>
      <c r="F151" s="417"/>
      <c r="G151" s="417"/>
      <c r="H151" s="417"/>
      <c r="I151" s="417"/>
      <c r="J151" s="417"/>
      <c r="K151" s="418"/>
      <c r="L151" s="6"/>
      <c r="Q151" s="6"/>
      <c r="R151" s="6"/>
      <c r="S151" s="6"/>
      <c r="T151" s="6"/>
      <c r="U151" s="6"/>
      <c r="V151" s="6"/>
    </row>
    <row r="152" spans="1:77" x14ac:dyDescent="0.2">
      <c r="A152" s="6" t="s">
        <v>151</v>
      </c>
      <c r="B152" s="416">
        <v>152</v>
      </c>
      <c r="C152" s="417"/>
      <c r="D152" s="417"/>
      <c r="E152" s="417"/>
      <c r="F152" s="417"/>
      <c r="G152" s="417"/>
      <c r="H152" s="417"/>
      <c r="I152" s="417"/>
      <c r="J152" s="417"/>
      <c r="K152" s="418"/>
      <c r="L152" s="6"/>
      <c r="Q152" s="6"/>
      <c r="R152" s="6"/>
      <c r="S152" s="6"/>
      <c r="T152" s="6"/>
      <c r="U152" s="6"/>
      <c r="V152" s="6"/>
    </row>
    <row r="153" spans="1:77" x14ac:dyDescent="0.2">
      <c r="A153" s="6"/>
      <c r="B153" s="419">
        <v>153</v>
      </c>
      <c r="C153" s="420"/>
      <c r="D153" s="420"/>
      <c r="E153" s="420"/>
      <c r="F153" s="420"/>
      <c r="G153" s="420"/>
      <c r="H153" s="420"/>
      <c r="I153" s="420"/>
      <c r="J153" s="420"/>
      <c r="K153" s="421"/>
      <c r="L153" s="6"/>
      <c r="Q153" s="6"/>
      <c r="R153" s="6"/>
      <c r="S153" s="6"/>
      <c r="T153" s="6"/>
      <c r="U153" s="6"/>
      <c r="V153" s="6"/>
    </row>
    <row r="154" spans="1:77" x14ac:dyDescent="0.2">
      <c r="A154" s="6"/>
      <c r="F154" s="6"/>
      <c r="G154" s="6"/>
      <c r="H154" s="6"/>
      <c r="I154" s="6"/>
      <c r="J154" s="6"/>
      <c r="K154" s="6"/>
      <c r="L154" s="6"/>
      <c r="Q154" s="6"/>
      <c r="R154" s="6"/>
      <c r="S154" s="6"/>
      <c r="T154" s="6"/>
      <c r="U154" s="6"/>
    </row>
    <row r="155" spans="1:77" x14ac:dyDescent="0.2">
      <c r="A155" s="6"/>
      <c r="F155" s="6"/>
      <c r="G155" s="6"/>
      <c r="H155" s="6"/>
      <c r="I155" s="6"/>
      <c r="J155" s="6"/>
      <c r="K155" s="6"/>
      <c r="L155" s="6"/>
      <c r="AG155" s="8"/>
    </row>
    <row r="156" spans="1:77" x14ac:dyDescent="0.2">
      <c r="A156" s="6"/>
      <c r="F156" s="6"/>
      <c r="G156" s="6"/>
      <c r="H156" s="6"/>
      <c r="I156" s="6"/>
      <c r="J156" s="6"/>
      <c r="K156" s="6"/>
      <c r="L156" s="6"/>
      <c r="AG156" s="8"/>
    </row>
    <row r="157" spans="1:77" hidden="1" x14ac:dyDescent="0.2"/>
    <row r="158" spans="1:77" hidden="1" x14ac:dyDescent="0.2"/>
    <row r="159" spans="1:77" hidden="1" x14ac:dyDescent="0.2"/>
    <row r="160" spans="1:77"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sheetData>
  <mergeCells count="16">
    <mergeCell ref="B151:K151"/>
    <mergeCell ref="B152:K152"/>
    <mergeCell ref="B153:K153"/>
    <mergeCell ref="B134:K134"/>
    <mergeCell ref="B135:K135"/>
    <mergeCell ref="B136:K136"/>
    <mergeCell ref="B137:K137"/>
    <mergeCell ref="B138:K138"/>
    <mergeCell ref="B144:K144"/>
    <mergeCell ref="B145:K145"/>
    <mergeCell ref="B146:K146"/>
    <mergeCell ref="B150:K150"/>
    <mergeCell ref="B139:K139"/>
    <mergeCell ref="B142:K142"/>
    <mergeCell ref="B143:K143"/>
    <mergeCell ref="B149:K149"/>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44"/>
  <sheetViews>
    <sheetView workbookViewId="0">
      <pane ySplit="3" topLeftCell="A4" activePane="bottomLeft" state="frozen"/>
      <selection pane="bottomLeft" activeCell="G102" sqref="G102"/>
    </sheetView>
  </sheetViews>
  <sheetFormatPr baseColWidth="10" defaultColWidth="0" defaultRowHeight="0" customHeight="1" zeroHeight="1" x14ac:dyDescent="0.2"/>
  <cols>
    <col min="1" max="1" width="5.5" style="152" customWidth="1"/>
    <col min="2" max="2" width="22.5" style="139" customWidth="1"/>
    <col min="3" max="3" width="16.1640625" style="139" customWidth="1"/>
    <col min="4" max="4" width="12.6640625" style="139" customWidth="1"/>
    <col min="5" max="5" width="11" style="139" customWidth="1"/>
    <col min="6" max="6" width="14" style="139" customWidth="1"/>
    <col min="7" max="7" width="11.33203125" style="139" customWidth="1"/>
    <col min="8" max="8" width="12.1640625" style="139" customWidth="1"/>
    <col min="9" max="9" width="13" style="139" customWidth="1"/>
    <col min="10" max="10" width="59" style="139" customWidth="1"/>
    <col min="11" max="11" width="5.5" style="141" customWidth="1"/>
    <col min="12" max="24" width="0" style="134" hidden="1" customWidth="1"/>
    <col min="25" max="16384" width="10.83203125" style="134" hidden="1"/>
  </cols>
  <sheetData>
    <row r="1" spans="1:12" s="139" customFormat="1" ht="34" customHeight="1" x14ac:dyDescent="0.3">
      <c r="A1" s="153"/>
      <c r="B1" s="435" t="s">
        <v>512</v>
      </c>
      <c r="C1" s="435"/>
      <c r="D1" s="435"/>
      <c r="E1" s="435"/>
      <c r="F1" s="435"/>
      <c r="G1" s="435"/>
      <c r="H1" s="435"/>
      <c r="I1" s="435"/>
      <c r="J1" s="435"/>
      <c r="K1" s="153"/>
      <c r="L1" s="157"/>
    </row>
    <row r="2" spans="1:12" s="139" customFormat="1" ht="60" customHeight="1" x14ac:dyDescent="0.2">
      <c r="A2" s="154"/>
      <c r="B2" s="434" t="s">
        <v>513</v>
      </c>
      <c r="C2" s="434"/>
      <c r="D2" s="434"/>
      <c r="E2" s="434"/>
      <c r="F2" s="434"/>
      <c r="G2" s="434"/>
      <c r="H2" s="434"/>
      <c r="I2" s="434"/>
      <c r="J2" s="434"/>
      <c r="K2" s="154"/>
    </row>
    <row r="3" spans="1:12" s="133" customFormat="1" ht="41" customHeight="1" x14ac:dyDescent="0.2">
      <c r="A3" s="155"/>
      <c r="B3" s="158" t="s">
        <v>282</v>
      </c>
      <c r="C3" s="135" t="s">
        <v>504</v>
      </c>
      <c r="D3" s="136" t="s">
        <v>503</v>
      </c>
      <c r="E3" s="136" t="s">
        <v>502</v>
      </c>
      <c r="F3" s="136" t="s">
        <v>501</v>
      </c>
      <c r="G3" s="136" t="s">
        <v>283</v>
      </c>
      <c r="H3" s="136" t="s">
        <v>471</v>
      </c>
      <c r="I3" s="136" t="s">
        <v>284</v>
      </c>
      <c r="J3" s="232" t="s">
        <v>285</v>
      </c>
      <c r="K3" s="156"/>
    </row>
    <row r="4" spans="1:12" s="238" customFormat="1" ht="16" customHeight="1" x14ac:dyDescent="0.2">
      <c r="A4" s="237"/>
      <c r="B4" s="234" t="s">
        <v>286</v>
      </c>
      <c r="C4" s="235" t="s">
        <v>474</v>
      </c>
      <c r="D4" s="236" t="s">
        <v>287</v>
      </c>
      <c r="E4" s="236" t="s">
        <v>6</v>
      </c>
      <c r="F4" s="236" t="s">
        <v>6</v>
      </c>
      <c r="G4" s="236" t="s">
        <v>288</v>
      </c>
      <c r="H4" s="236" t="s">
        <v>5</v>
      </c>
      <c r="I4" s="236" t="s">
        <v>289</v>
      </c>
      <c r="J4" s="231" t="s">
        <v>506</v>
      </c>
      <c r="K4" s="237"/>
    </row>
    <row r="5" spans="1:12" s="238" customFormat="1" ht="16" customHeight="1" x14ac:dyDescent="0.2">
      <c r="A5" s="237"/>
      <c r="B5" s="234" t="s">
        <v>290</v>
      </c>
      <c r="C5" s="235" t="s">
        <v>475</v>
      </c>
      <c r="D5" s="236" t="s">
        <v>287</v>
      </c>
      <c r="E5" s="236" t="s">
        <v>6</v>
      </c>
      <c r="F5" s="236" t="s">
        <v>6</v>
      </c>
      <c r="G5" s="236" t="s">
        <v>288</v>
      </c>
      <c r="H5" s="236" t="s">
        <v>5</v>
      </c>
      <c r="I5" s="236" t="s">
        <v>291</v>
      </c>
      <c r="J5" s="231"/>
      <c r="K5" s="237"/>
    </row>
    <row r="6" spans="1:12" s="238" customFormat="1" ht="16" customHeight="1" x14ac:dyDescent="0.2">
      <c r="A6" s="237"/>
      <c r="B6" s="234" t="s">
        <v>292</v>
      </c>
      <c r="C6" s="235" t="s">
        <v>476</v>
      </c>
      <c r="D6" s="236" t="s">
        <v>287</v>
      </c>
      <c r="E6" s="236" t="s">
        <v>5</v>
      </c>
      <c r="F6" s="236" t="s">
        <v>5</v>
      </c>
      <c r="G6" s="236" t="s">
        <v>6</v>
      </c>
      <c r="H6" s="236" t="s">
        <v>6</v>
      </c>
      <c r="I6" s="236"/>
      <c r="J6" s="231"/>
      <c r="K6" s="237"/>
    </row>
    <row r="7" spans="1:12" s="238" customFormat="1" ht="16" customHeight="1" x14ac:dyDescent="0.2">
      <c r="A7" s="237"/>
      <c r="B7" s="234" t="s">
        <v>293</v>
      </c>
      <c r="C7" s="235" t="s">
        <v>475</v>
      </c>
      <c r="D7" s="236" t="s">
        <v>287</v>
      </c>
      <c r="E7" s="236" t="s">
        <v>6</v>
      </c>
      <c r="F7" s="236" t="s">
        <v>6</v>
      </c>
      <c r="G7" s="236" t="s">
        <v>6</v>
      </c>
      <c r="H7" s="236" t="s">
        <v>6</v>
      </c>
      <c r="I7" s="236" t="s">
        <v>294</v>
      </c>
      <c r="J7" s="231"/>
      <c r="K7" s="237"/>
    </row>
    <row r="8" spans="1:12" s="238" customFormat="1" ht="16" customHeight="1" x14ac:dyDescent="0.2">
      <c r="A8" s="237"/>
      <c r="B8" s="234" t="s">
        <v>295</v>
      </c>
      <c r="C8" s="235" t="s">
        <v>476</v>
      </c>
      <c r="D8" s="236" t="s">
        <v>296</v>
      </c>
      <c r="E8" s="236" t="s">
        <v>6</v>
      </c>
      <c r="F8" s="236" t="s">
        <v>5</v>
      </c>
      <c r="G8" s="236" t="s">
        <v>6</v>
      </c>
      <c r="H8" s="236" t="s">
        <v>5</v>
      </c>
      <c r="I8" s="236" t="s">
        <v>297</v>
      </c>
      <c r="J8" s="231"/>
      <c r="K8" s="237"/>
    </row>
    <row r="9" spans="1:12" s="238" customFormat="1" ht="16" customHeight="1" x14ac:dyDescent="0.2">
      <c r="A9" s="237"/>
      <c r="B9" s="234" t="s">
        <v>298</v>
      </c>
      <c r="C9" s="235" t="s">
        <v>477</v>
      </c>
      <c r="D9" s="236" t="s">
        <v>299</v>
      </c>
      <c r="E9" s="236" t="s">
        <v>6</v>
      </c>
      <c r="F9" s="236" t="s">
        <v>6</v>
      </c>
      <c r="G9" s="236" t="s">
        <v>288</v>
      </c>
      <c r="H9" s="236" t="s">
        <v>5</v>
      </c>
      <c r="I9" s="236"/>
      <c r="J9" s="231"/>
      <c r="K9" s="237"/>
    </row>
    <row r="10" spans="1:12" s="238" customFormat="1" ht="16" customHeight="1" x14ac:dyDescent="0.2">
      <c r="A10" s="237"/>
      <c r="B10" s="234" t="s">
        <v>300</v>
      </c>
      <c r="C10" s="235" t="s">
        <v>478</v>
      </c>
      <c r="D10" s="236" t="s">
        <v>299</v>
      </c>
      <c r="E10" s="236" t="s">
        <v>6</v>
      </c>
      <c r="F10" s="236" t="s">
        <v>6</v>
      </c>
      <c r="G10" s="236" t="s">
        <v>301</v>
      </c>
      <c r="H10" s="236" t="s">
        <v>302</v>
      </c>
      <c r="I10" s="236"/>
      <c r="J10" s="231" t="s">
        <v>303</v>
      </c>
      <c r="K10" s="237"/>
    </row>
    <row r="11" spans="1:12" s="238" customFormat="1" ht="16" customHeight="1" x14ac:dyDescent="0.2">
      <c r="A11" s="237"/>
      <c r="B11" s="234" t="s">
        <v>304</v>
      </c>
      <c r="C11" s="235" t="s">
        <v>479</v>
      </c>
      <c r="D11" s="236" t="s">
        <v>299</v>
      </c>
      <c r="E11" s="236" t="s">
        <v>6</v>
      </c>
      <c r="F11" s="236" t="s">
        <v>6</v>
      </c>
      <c r="G11" s="236" t="s">
        <v>301</v>
      </c>
      <c r="H11" s="236" t="s">
        <v>5</v>
      </c>
      <c r="I11" s="236"/>
      <c r="J11" s="231"/>
      <c r="K11" s="237"/>
    </row>
    <row r="12" spans="1:12" s="238" customFormat="1" ht="16" customHeight="1" x14ac:dyDescent="0.2">
      <c r="A12" s="237"/>
      <c r="B12" s="234" t="s">
        <v>305</v>
      </c>
      <c r="C12" s="235" t="s">
        <v>480</v>
      </c>
      <c r="D12" s="236" t="s">
        <v>299</v>
      </c>
      <c r="E12" s="236" t="s">
        <v>6</v>
      </c>
      <c r="F12" s="236" t="s">
        <v>6</v>
      </c>
      <c r="G12" s="236" t="s">
        <v>306</v>
      </c>
      <c r="H12" s="236" t="s">
        <v>6</v>
      </c>
      <c r="I12" s="236"/>
      <c r="J12" s="231"/>
      <c r="K12" s="237"/>
    </row>
    <row r="13" spans="1:12" s="238" customFormat="1" ht="16" customHeight="1" x14ac:dyDescent="0.2">
      <c r="A13" s="237"/>
      <c r="B13" s="234" t="s">
        <v>307</v>
      </c>
      <c r="C13" s="235" t="s">
        <v>481</v>
      </c>
      <c r="D13" s="236" t="s">
        <v>287</v>
      </c>
      <c r="E13" s="236" t="s">
        <v>6</v>
      </c>
      <c r="F13" s="236" t="s">
        <v>5</v>
      </c>
      <c r="G13" s="236" t="s">
        <v>6</v>
      </c>
      <c r="H13" s="236" t="s">
        <v>5</v>
      </c>
      <c r="I13" s="236"/>
      <c r="J13" s="231"/>
      <c r="K13" s="237"/>
    </row>
    <row r="14" spans="1:12" s="238" customFormat="1" ht="16" customHeight="1" x14ac:dyDescent="0.2">
      <c r="A14" s="237"/>
      <c r="B14" s="234" t="s">
        <v>308</v>
      </c>
      <c r="C14" s="235" t="s">
        <v>482</v>
      </c>
      <c r="D14" s="236" t="s">
        <v>309</v>
      </c>
      <c r="E14" s="236"/>
      <c r="F14" s="236"/>
      <c r="G14" s="236"/>
      <c r="H14" s="236"/>
      <c r="I14" s="236" t="s">
        <v>310</v>
      </c>
      <c r="J14" s="231"/>
      <c r="K14" s="237"/>
    </row>
    <row r="15" spans="1:12" s="238" customFormat="1" ht="16" customHeight="1" x14ac:dyDescent="0.2">
      <c r="A15" s="237"/>
      <c r="B15" s="234" t="s">
        <v>311</v>
      </c>
      <c r="C15" s="235" t="s">
        <v>483</v>
      </c>
      <c r="D15" s="236">
        <v>95</v>
      </c>
      <c r="E15" s="236"/>
      <c r="F15" s="236"/>
      <c r="G15" s="236"/>
      <c r="H15" s="236"/>
      <c r="I15" s="236" t="s">
        <v>312</v>
      </c>
      <c r="J15" s="231"/>
      <c r="K15" s="237"/>
    </row>
    <row r="16" spans="1:12" s="238" customFormat="1" ht="16" customHeight="1" x14ac:dyDescent="0.2">
      <c r="A16" s="237"/>
      <c r="B16" s="234" t="s">
        <v>313</v>
      </c>
      <c r="C16" s="235">
        <v>0</v>
      </c>
      <c r="D16" s="236" t="s">
        <v>296</v>
      </c>
      <c r="E16" s="236"/>
      <c r="F16" s="236"/>
      <c r="G16" s="236"/>
      <c r="H16" s="236"/>
      <c r="I16" s="236" t="s">
        <v>314</v>
      </c>
      <c r="J16" s="231"/>
      <c r="K16" s="237"/>
    </row>
    <row r="17" spans="1:11" s="238" customFormat="1" ht="16" customHeight="1" x14ac:dyDescent="0.2">
      <c r="A17" s="237"/>
      <c r="B17" s="234" t="s">
        <v>315</v>
      </c>
      <c r="C17" s="235" t="s">
        <v>484</v>
      </c>
      <c r="D17" s="236">
        <v>95</v>
      </c>
      <c r="E17" s="236"/>
      <c r="F17" s="236"/>
      <c r="G17" s="236"/>
      <c r="H17" s="236"/>
      <c r="I17" s="236" t="s">
        <v>316</v>
      </c>
      <c r="J17" s="231"/>
      <c r="K17" s="237"/>
    </row>
    <row r="18" spans="1:11" s="238" customFormat="1" ht="16" customHeight="1" x14ac:dyDescent="0.2">
      <c r="A18" s="237"/>
      <c r="B18" s="234" t="s">
        <v>317</v>
      </c>
      <c r="C18" s="235" t="s">
        <v>476</v>
      </c>
      <c r="D18" s="236" t="s">
        <v>287</v>
      </c>
      <c r="E18" s="236" t="s">
        <v>5</v>
      </c>
      <c r="F18" s="236" t="s">
        <v>5</v>
      </c>
      <c r="G18" s="236" t="s">
        <v>6</v>
      </c>
      <c r="H18" s="236" t="s">
        <v>5</v>
      </c>
      <c r="I18" s="236"/>
      <c r="J18" s="231"/>
      <c r="K18" s="237"/>
    </row>
    <row r="19" spans="1:11" s="238" customFormat="1" ht="16" customHeight="1" x14ac:dyDescent="0.2">
      <c r="A19" s="237"/>
      <c r="B19" s="234" t="s">
        <v>318</v>
      </c>
      <c r="C19" s="235">
        <v>0</v>
      </c>
      <c r="D19" s="236" t="s">
        <v>319</v>
      </c>
      <c r="E19" s="236"/>
      <c r="F19" s="236"/>
      <c r="G19" s="236"/>
      <c r="H19" s="236"/>
      <c r="I19" s="236" t="s">
        <v>320</v>
      </c>
      <c r="J19" s="231"/>
      <c r="K19" s="237"/>
    </row>
    <row r="20" spans="1:11" s="238" customFormat="1" ht="16" customHeight="1" x14ac:dyDescent="0.2">
      <c r="A20" s="237"/>
      <c r="B20" s="234" t="s">
        <v>321</v>
      </c>
      <c r="C20" s="235">
        <v>0</v>
      </c>
      <c r="D20" s="236" t="s">
        <v>319</v>
      </c>
      <c r="E20" s="236"/>
      <c r="F20" s="236"/>
      <c r="G20" s="236"/>
      <c r="H20" s="236"/>
      <c r="I20" s="236" t="s">
        <v>322</v>
      </c>
      <c r="J20" s="231"/>
      <c r="K20" s="237"/>
    </row>
    <row r="21" spans="1:11" s="238" customFormat="1" ht="16" customHeight="1" x14ac:dyDescent="0.2">
      <c r="A21" s="237"/>
      <c r="B21" s="234" t="s">
        <v>323</v>
      </c>
      <c r="C21" s="235" t="s">
        <v>485</v>
      </c>
      <c r="D21" s="236" t="s">
        <v>287</v>
      </c>
      <c r="E21" s="236" t="s">
        <v>6</v>
      </c>
      <c r="F21" s="236" t="s">
        <v>6</v>
      </c>
      <c r="G21" s="236" t="s">
        <v>324</v>
      </c>
      <c r="H21" s="236" t="s">
        <v>6</v>
      </c>
      <c r="I21" s="236" t="s">
        <v>325</v>
      </c>
      <c r="J21" s="231"/>
      <c r="K21" s="237"/>
    </row>
    <row r="22" spans="1:11" s="238" customFormat="1" ht="16" customHeight="1" x14ac:dyDescent="0.2">
      <c r="A22" s="237"/>
      <c r="B22" s="234" t="s">
        <v>326</v>
      </c>
      <c r="C22" s="235" t="s">
        <v>476</v>
      </c>
      <c r="D22" s="236" t="s">
        <v>287</v>
      </c>
      <c r="E22" s="236" t="s">
        <v>6</v>
      </c>
      <c r="F22" s="236" t="s">
        <v>6</v>
      </c>
      <c r="G22" s="236" t="s">
        <v>324</v>
      </c>
      <c r="H22" s="236" t="s">
        <v>6</v>
      </c>
      <c r="I22" s="236"/>
      <c r="J22" s="231"/>
      <c r="K22" s="237"/>
    </row>
    <row r="23" spans="1:11" s="238" customFormat="1" ht="16" customHeight="1" x14ac:dyDescent="0.2">
      <c r="A23" s="237"/>
      <c r="B23" s="234" t="s">
        <v>327</v>
      </c>
      <c r="C23" s="235" t="s">
        <v>476</v>
      </c>
      <c r="D23" s="236" t="s">
        <v>287</v>
      </c>
      <c r="E23" s="236" t="s">
        <v>6</v>
      </c>
      <c r="F23" s="236" t="s">
        <v>5</v>
      </c>
      <c r="G23" s="236" t="s">
        <v>6</v>
      </c>
      <c r="H23" s="236" t="s">
        <v>5</v>
      </c>
      <c r="I23" s="236"/>
      <c r="J23" s="231"/>
      <c r="K23" s="237"/>
    </row>
    <row r="24" spans="1:11" s="238" customFormat="1" ht="16" customHeight="1" x14ac:dyDescent="0.2">
      <c r="A24" s="237"/>
      <c r="B24" s="234" t="s">
        <v>328</v>
      </c>
      <c r="C24" s="235">
        <v>0</v>
      </c>
      <c r="D24" s="236" t="s">
        <v>296</v>
      </c>
      <c r="E24" s="236" t="s">
        <v>5</v>
      </c>
      <c r="F24" s="236" t="s">
        <v>5</v>
      </c>
      <c r="G24" s="236" t="s">
        <v>6</v>
      </c>
      <c r="H24" s="236" t="s">
        <v>5</v>
      </c>
      <c r="I24" s="236" t="s">
        <v>320</v>
      </c>
      <c r="J24" s="231"/>
      <c r="K24" s="237"/>
    </row>
    <row r="25" spans="1:11" s="238" customFormat="1" ht="16" customHeight="1" x14ac:dyDescent="0.2">
      <c r="A25" s="237"/>
      <c r="B25" s="234" t="s">
        <v>329</v>
      </c>
      <c r="C25" s="235">
        <v>0</v>
      </c>
      <c r="D25" s="236" t="s">
        <v>287</v>
      </c>
      <c r="E25" s="236" t="s">
        <v>5</v>
      </c>
      <c r="F25" s="236" t="s">
        <v>5</v>
      </c>
      <c r="G25" s="236" t="s">
        <v>6</v>
      </c>
      <c r="H25" s="236" t="s">
        <v>5</v>
      </c>
      <c r="I25" s="236" t="s">
        <v>330</v>
      </c>
      <c r="J25" s="231"/>
      <c r="K25" s="237"/>
    </row>
    <row r="26" spans="1:11" s="238" customFormat="1" ht="16" customHeight="1" x14ac:dyDescent="0.2">
      <c r="A26" s="237"/>
      <c r="B26" s="234" t="s">
        <v>331</v>
      </c>
      <c r="C26" s="235">
        <v>0</v>
      </c>
      <c r="D26" s="236" t="s">
        <v>287</v>
      </c>
      <c r="E26" s="236" t="s">
        <v>5</v>
      </c>
      <c r="F26" s="236" t="s">
        <v>5</v>
      </c>
      <c r="G26" s="236" t="s">
        <v>6</v>
      </c>
      <c r="H26" s="236" t="s">
        <v>5</v>
      </c>
      <c r="I26" s="236"/>
      <c r="J26" s="231" t="s">
        <v>332</v>
      </c>
      <c r="K26" s="237"/>
    </row>
    <row r="27" spans="1:11" s="238" customFormat="1" ht="16" customHeight="1" x14ac:dyDescent="0.2">
      <c r="A27" s="237"/>
      <c r="B27" s="234" t="s">
        <v>333</v>
      </c>
      <c r="C27" s="235">
        <v>0</v>
      </c>
      <c r="D27" s="236" t="s">
        <v>296</v>
      </c>
      <c r="E27" s="236" t="s">
        <v>6</v>
      </c>
      <c r="F27" s="236" t="s">
        <v>6</v>
      </c>
      <c r="G27" s="236" t="s">
        <v>6</v>
      </c>
      <c r="H27" s="236" t="s">
        <v>5</v>
      </c>
      <c r="I27" s="236" t="s">
        <v>334</v>
      </c>
      <c r="J27" s="231"/>
      <c r="K27" s="237"/>
    </row>
    <row r="28" spans="1:11" s="238" customFormat="1" ht="16" customHeight="1" x14ac:dyDescent="0.2">
      <c r="A28" s="237"/>
      <c r="B28" s="234" t="s">
        <v>335</v>
      </c>
      <c r="C28" s="235">
        <v>0</v>
      </c>
      <c r="D28" s="236" t="s">
        <v>319</v>
      </c>
      <c r="E28" s="236" t="s">
        <v>5</v>
      </c>
      <c r="F28" s="236" t="s">
        <v>5</v>
      </c>
      <c r="G28" s="236" t="s">
        <v>6</v>
      </c>
      <c r="H28" s="236" t="s">
        <v>5</v>
      </c>
      <c r="I28" s="236" t="s">
        <v>336</v>
      </c>
      <c r="J28" s="231"/>
      <c r="K28" s="237"/>
    </row>
    <row r="29" spans="1:11" s="238" customFormat="1" ht="16" customHeight="1" x14ac:dyDescent="0.2">
      <c r="A29" s="237"/>
      <c r="B29" s="234" t="s">
        <v>337</v>
      </c>
      <c r="C29" s="235">
        <v>0</v>
      </c>
      <c r="D29" s="236" t="s">
        <v>319</v>
      </c>
      <c r="E29" s="236"/>
      <c r="F29" s="236"/>
      <c r="G29" s="236"/>
      <c r="H29" s="236"/>
      <c r="I29" s="236" t="s">
        <v>338</v>
      </c>
      <c r="J29" s="231"/>
      <c r="K29" s="237"/>
    </row>
    <row r="30" spans="1:11" s="238" customFormat="1" ht="16" customHeight="1" x14ac:dyDescent="0.2">
      <c r="A30" s="237"/>
      <c r="B30" s="234" t="s">
        <v>339</v>
      </c>
      <c r="C30" s="235" t="s">
        <v>486</v>
      </c>
      <c r="D30" s="236" t="s">
        <v>287</v>
      </c>
      <c r="E30" s="236" t="s">
        <v>6</v>
      </c>
      <c r="F30" s="236" t="s">
        <v>6</v>
      </c>
      <c r="G30" s="236" t="s">
        <v>306</v>
      </c>
      <c r="H30" s="236" t="s">
        <v>5</v>
      </c>
      <c r="I30" s="236"/>
      <c r="J30" s="231"/>
      <c r="K30" s="237"/>
    </row>
    <row r="31" spans="1:11" s="238" customFormat="1" ht="16" customHeight="1" x14ac:dyDescent="0.2">
      <c r="A31" s="237"/>
      <c r="B31" s="234" t="s">
        <v>340</v>
      </c>
      <c r="C31" s="235">
        <v>0</v>
      </c>
      <c r="D31" s="236" t="s">
        <v>296</v>
      </c>
      <c r="E31" s="236" t="s">
        <v>5</v>
      </c>
      <c r="F31" s="236" t="s">
        <v>5</v>
      </c>
      <c r="G31" s="236" t="s">
        <v>6</v>
      </c>
      <c r="H31" s="236" t="s">
        <v>5</v>
      </c>
      <c r="I31" s="236" t="s">
        <v>341</v>
      </c>
      <c r="J31" s="231" t="s">
        <v>342</v>
      </c>
      <c r="K31" s="237"/>
    </row>
    <row r="32" spans="1:11" s="238" customFormat="1" ht="16" customHeight="1" x14ac:dyDescent="0.2">
      <c r="A32" s="237"/>
      <c r="B32" s="234" t="s">
        <v>343</v>
      </c>
      <c r="C32" s="235">
        <v>0</v>
      </c>
      <c r="D32" s="236" t="s">
        <v>319</v>
      </c>
      <c r="E32" s="236"/>
      <c r="F32" s="236"/>
      <c r="G32" s="236"/>
      <c r="H32" s="236"/>
      <c r="I32" s="236" t="s">
        <v>344</v>
      </c>
      <c r="J32" s="231"/>
      <c r="K32" s="237"/>
    </row>
    <row r="33" spans="1:11" s="238" customFormat="1" ht="16" customHeight="1" x14ac:dyDescent="0.2">
      <c r="A33" s="237"/>
      <c r="B33" s="234" t="s">
        <v>345</v>
      </c>
      <c r="C33" s="235">
        <v>0</v>
      </c>
      <c r="D33" s="236" t="s">
        <v>319</v>
      </c>
      <c r="E33" s="236"/>
      <c r="F33" s="236"/>
      <c r="G33" s="236"/>
      <c r="H33" s="236"/>
      <c r="I33" s="236" t="s">
        <v>346</v>
      </c>
      <c r="J33" s="231"/>
      <c r="K33" s="237"/>
    </row>
    <row r="34" spans="1:11" s="238" customFormat="1" ht="16" customHeight="1" x14ac:dyDescent="0.2">
      <c r="A34" s="237"/>
      <c r="B34" s="234" t="s">
        <v>347</v>
      </c>
      <c r="C34" s="235">
        <v>0</v>
      </c>
      <c r="D34" s="236" t="s">
        <v>348</v>
      </c>
      <c r="E34" s="236"/>
      <c r="F34" s="236"/>
      <c r="G34" s="236"/>
      <c r="H34" s="236"/>
      <c r="I34" s="236" t="s">
        <v>349</v>
      </c>
      <c r="J34" s="231"/>
      <c r="K34" s="237"/>
    </row>
    <row r="35" spans="1:11" s="238" customFormat="1" ht="16" customHeight="1" x14ac:dyDescent="0.2">
      <c r="A35" s="237"/>
      <c r="B35" s="234" t="s">
        <v>347</v>
      </c>
      <c r="C35" s="235" t="s">
        <v>476</v>
      </c>
      <c r="D35" s="236" t="s">
        <v>287</v>
      </c>
      <c r="E35" s="236" t="s">
        <v>6</v>
      </c>
      <c r="F35" s="236" t="s">
        <v>6</v>
      </c>
      <c r="G35" s="236" t="s">
        <v>6</v>
      </c>
      <c r="H35" s="236" t="s">
        <v>5</v>
      </c>
      <c r="I35" s="236"/>
      <c r="J35" s="231"/>
      <c r="K35" s="237"/>
    </row>
    <row r="36" spans="1:11" s="238" customFormat="1" ht="16" customHeight="1" x14ac:dyDescent="0.2">
      <c r="A36" s="237"/>
      <c r="B36" s="234" t="s">
        <v>350</v>
      </c>
      <c r="C36" s="235">
        <v>0</v>
      </c>
      <c r="D36" s="236" t="s">
        <v>319</v>
      </c>
      <c r="E36" s="236" t="s">
        <v>5</v>
      </c>
      <c r="F36" s="236" t="s">
        <v>5</v>
      </c>
      <c r="G36" s="236" t="s">
        <v>6</v>
      </c>
      <c r="H36" s="236" t="s">
        <v>5</v>
      </c>
      <c r="I36" s="236" t="s">
        <v>334</v>
      </c>
      <c r="J36" s="231"/>
      <c r="K36" s="237"/>
    </row>
    <row r="37" spans="1:11" s="238" customFormat="1" ht="16" customHeight="1" x14ac:dyDescent="0.2">
      <c r="A37" s="237"/>
      <c r="B37" s="234" t="s">
        <v>351</v>
      </c>
      <c r="C37" s="235">
        <v>0</v>
      </c>
      <c r="D37" s="236" t="s">
        <v>352</v>
      </c>
      <c r="E37" s="236"/>
      <c r="F37" s="236"/>
      <c r="G37" s="236"/>
      <c r="H37" s="236"/>
      <c r="I37" s="236" t="s">
        <v>353</v>
      </c>
      <c r="J37" s="231"/>
      <c r="K37" s="237"/>
    </row>
    <row r="38" spans="1:11" s="238" customFormat="1" ht="16" customHeight="1" x14ac:dyDescent="0.2">
      <c r="A38" s="237"/>
      <c r="B38" s="234" t="s">
        <v>354</v>
      </c>
      <c r="C38" s="235">
        <v>0</v>
      </c>
      <c r="D38" s="236" t="s">
        <v>296</v>
      </c>
      <c r="E38" s="236"/>
      <c r="F38" s="236"/>
      <c r="G38" s="236"/>
      <c r="H38" s="236"/>
      <c r="I38" s="236" t="s">
        <v>320</v>
      </c>
      <c r="J38" s="231"/>
      <c r="K38" s="237"/>
    </row>
    <row r="39" spans="1:11" s="238" customFormat="1" ht="16" customHeight="1" x14ac:dyDescent="0.2">
      <c r="A39" s="237"/>
      <c r="B39" s="234" t="s">
        <v>355</v>
      </c>
      <c r="C39" s="235" t="s">
        <v>476</v>
      </c>
      <c r="D39" s="236" t="s">
        <v>287</v>
      </c>
      <c r="E39" s="236" t="s">
        <v>6</v>
      </c>
      <c r="F39" s="236" t="s">
        <v>6</v>
      </c>
      <c r="G39" s="236" t="s">
        <v>324</v>
      </c>
      <c r="H39" s="236" t="s">
        <v>6</v>
      </c>
      <c r="I39" s="236"/>
      <c r="J39" s="231"/>
      <c r="K39" s="237"/>
    </row>
    <row r="40" spans="1:11" s="238" customFormat="1" ht="16" customHeight="1" x14ac:dyDescent="0.2">
      <c r="A40" s="237"/>
      <c r="B40" s="234" t="s">
        <v>356</v>
      </c>
      <c r="C40" s="235">
        <v>0</v>
      </c>
      <c r="D40" s="236" t="s">
        <v>287</v>
      </c>
      <c r="E40" s="236"/>
      <c r="F40" s="236"/>
      <c r="G40" s="236"/>
      <c r="H40" s="236"/>
      <c r="I40" s="236" t="s">
        <v>357</v>
      </c>
      <c r="J40" s="231"/>
      <c r="K40" s="237"/>
    </row>
    <row r="41" spans="1:11" s="238" customFormat="1" ht="16" customHeight="1" x14ac:dyDescent="0.2">
      <c r="A41" s="237"/>
      <c r="B41" s="234" t="s">
        <v>358</v>
      </c>
      <c r="C41" s="235" t="s">
        <v>487</v>
      </c>
      <c r="D41" s="236" t="s">
        <v>287</v>
      </c>
      <c r="E41" s="236"/>
      <c r="F41" s="236"/>
      <c r="G41" s="236"/>
      <c r="H41" s="236"/>
      <c r="I41" s="236" t="s">
        <v>297</v>
      </c>
      <c r="J41" s="231"/>
      <c r="K41" s="237"/>
    </row>
    <row r="42" spans="1:11" s="238" customFormat="1" ht="16" customHeight="1" x14ac:dyDescent="0.2">
      <c r="A42" s="237"/>
      <c r="B42" s="234" t="s">
        <v>359</v>
      </c>
      <c r="C42" s="235" t="s">
        <v>476</v>
      </c>
      <c r="D42" s="236" t="s">
        <v>287</v>
      </c>
      <c r="E42" s="236" t="s">
        <v>5</v>
      </c>
      <c r="F42" s="236" t="s">
        <v>5</v>
      </c>
      <c r="G42" s="236" t="s">
        <v>6</v>
      </c>
      <c r="H42" s="236" t="s">
        <v>6</v>
      </c>
      <c r="I42" s="236"/>
      <c r="J42" s="231"/>
      <c r="K42" s="237"/>
    </row>
    <row r="43" spans="1:11" s="238" customFormat="1" ht="16" customHeight="1" x14ac:dyDescent="0.2">
      <c r="A43" s="237"/>
      <c r="B43" s="234" t="s">
        <v>360</v>
      </c>
      <c r="C43" s="235">
        <v>0</v>
      </c>
      <c r="D43" s="236" t="s">
        <v>296</v>
      </c>
      <c r="E43" s="236"/>
      <c r="F43" s="236"/>
      <c r="G43" s="236"/>
      <c r="H43" s="236"/>
      <c r="I43" s="236" t="s">
        <v>361</v>
      </c>
      <c r="J43" s="231"/>
      <c r="K43" s="237"/>
    </row>
    <row r="44" spans="1:11" s="238" customFormat="1" ht="16" customHeight="1" x14ac:dyDescent="0.2">
      <c r="A44" s="237"/>
      <c r="B44" s="234" t="s">
        <v>362</v>
      </c>
      <c r="C44" s="235" t="s">
        <v>476</v>
      </c>
      <c r="D44" s="236" t="s">
        <v>287</v>
      </c>
      <c r="E44" s="236" t="s">
        <v>6</v>
      </c>
      <c r="F44" s="236" t="s">
        <v>6</v>
      </c>
      <c r="G44" s="236" t="s">
        <v>6</v>
      </c>
      <c r="H44" s="236" t="s">
        <v>6</v>
      </c>
      <c r="I44" s="236"/>
      <c r="J44" s="231"/>
      <c r="K44" s="237"/>
    </row>
    <row r="45" spans="1:11" s="238" customFormat="1" ht="16" customHeight="1" x14ac:dyDescent="0.2">
      <c r="A45" s="237"/>
      <c r="B45" s="234" t="s">
        <v>363</v>
      </c>
      <c r="C45" s="235" t="s">
        <v>480</v>
      </c>
      <c r="D45" s="236" t="s">
        <v>364</v>
      </c>
      <c r="E45" s="236" t="s">
        <v>6</v>
      </c>
      <c r="F45" s="236" t="s">
        <v>6</v>
      </c>
      <c r="G45" s="236" t="s">
        <v>6</v>
      </c>
      <c r="H45" s="236" t="s">
        <v>6</v>
      </c>
      <c r="I45" s="236"/>
      <c r="J45" s="231" t="s">
        <v>505</v>
      </c>
      <c r="K45" s="237"/>
    </row>
    <row r="46" spans="1:11" s="238" customFormat="1" ht="16" customHeight="1" x14ac:dyDescent="0.2">
      <c r="A46" s="237"/>
      <c r="B46" s="234" t="s">
        <v>365</v>
      </c>
      <c r="C46" s="235">
        <v>0</v>
      </c>
      <c r="D46" s="236" t="s">
        <v>296</v>
      </c>
      <c r="E46" s="236"/>
      <c r="F46" s="236"/>
      <c r="G46" s="236"/>
      <c r="H46" s="236"/>
      <c r="I46" s="236" t="s">
        <v>320</v>
      </c>
      <c r="J46" s="231"/>
      <c r="K46" s="237"/>
    </row>
    <row r="47" spans="1:11" s="238" customFormat="1" ht="16" customHeight="1" x14ac:dyDescent="0.2">
      <c r="A47" s="237"/>
      <c r="B47" s="234" t="s">
        <v>366</v>
      </c>
      <c r="C47" s="235">
        <v>0</v>
      </c>
      <c r="D47" s="236" t="s">
        <v>348</v>
      </c>
      <c r="E47" s="236" t="s">
        <v>5</v>
      </c>
      <c r="F47" s="236" t="s">
        <v>5</v>
      </c>
      <c r="G47" s="236" t="s">
        <v>6</v>
      </c>
      <c r="H47" s="236" t="s">
        <v>6</v>
      </c>
      <c r="I47" s="236" t="s">
        <v>367</v>
      </c>
      <c r="J47" s="231"/>
      <c r="K47" s="237"/>
    </row>
    <row r="48" spans="1:11" s="238" customFormat="1" ht="16" customHeight="1" x14ac:dyDescent="0.2">
      <c r="A48" s="237"/>
      <c r="B48" s="234" t="s">
        <v>368</v>
      </c>
      <c r="C48" s="235" t="s">
        <v>488</v>
      </c>
      <c r="D48" s="236" t="s">
        <v>287</v>
      </c>
      <c r="E48" s="236" t="s">
        <v>5</v>
      </c>
      <c r="F48" s="236" t="s">
        <v>6</v>
      </c>
      <c r="G48" s="236" t="s">
        <v>6</v>
      </c>
      <c r="H48" s="236" t="s">
        <v>6</v>
      </c>
      <c r="I48" s="236"/>
      <c r="J48" s="231"/>
      <c r="K48" s="237"/>
    </row>
    <row r="49" spans="1:11" s="238" customFormat="1" ht="16" customHeight="1" x14ac:dyDescent="0.2">
      <c r="A49" s="237"/>
      <c r="B49" s="234" t="s">
        <v>369</v>
      </c>
      <c r="C49" s="235" t="s">
        <v>489</v>
      </c>
      <c r="D49" s="236">
        <v>95</v>
      </c>
      <c r="E49" s="236" t="s">
        <v>6</v>
      </c>
      <c r="F49" s="236" t="s">
        <v>6</v>
      </c>
      <c r="G49" s="236" t="s">
        <v>324</v>
      </c>
      <c r="H49" s="236" t="s">
        <v>5</v>
      </c>
      <c r="I49" s="236" t="s">
        <v>320</v>
      </c>
      <c r="J49" s="231"/>
      <c r="K49" s="237"/>
    </row>
    <row r="50" spans="1:11" s="238" customFormat="1" ht="16" customHeight="1" x14ac:dyDescent="0.2">
      <c r="A50" s="237"/>
      <c r="B50" s="234" t="s">
        <v>370</v>
      </c>
      <c r="C50" s="235" t="s">
        <v>475</v>
      </c>
      <c r="D50" s="236" t="s">
        <v>287</v>
      </c>
      <c r="E50" s="236"/>
      <c r="F50" s="236"/>
      <c r="G50" s="236"/>
      <c r="H50" s="236"/>
      <c r="I50" s="236" t="s">
        <v>371</v>
      </c>
      <c r="J50" s="231"/>
      <c r="K50" s="237"/>
    </row>
    <row r="51" spans="1:11" s="238" customFormat="1" ht="16" customHeight="1" x14ac:dyDescent="0.2">
      <c r="A51" s="237"/>
      <c r="B51" s="234" t="s">
        <v>372</v>
      </c>
      <c r="C51" s="235" t="s">
        <v>490</v>
      </c>
      <c r="D51" s="236" t="s">
        <v>287</v>
      </c>
      <c r="E51" s="236" t="s">
        <v>6</v>
      </c>
      <c r="F51" s="236" t="s">
        <v>6</v>
      </c>
      <c r="G51" s="236" t="s">
        <v>6</v>
      </c>
      <c r="H51" s="236" t="s">
        <v>5</v>
      </c>
      <c r="I51" s="236" t="s">
        <v>373</v>
      </c>
      <c r="J51" s="231"/>
      <c r="K51" s="237"/>
    </row>
    <row r="52" spans="1:11" s="238" customFormat="1" ht="16" customHeight="1" x14ac:dyDescent="0.2">
      <c r="A52" s="237"/>
      <c r="B52" s="234" t="s">
        <v>374</v>
      </c>
      <c r="C52" s="235" t="s">
        <v>475</v>
      </c>
      <c r="D52" s="236" t="s">
        <v>287</v>
      </c>
      <c r="E52" s="236"/>
      <c r="F52" s="236"/>
      <c r="G52" s="236"/>
      <c r="H52" s="236"/>
      <c r="I52" s="236" t="s">
        <v>375</v>
      </c>
      <c r="J52" s="231"/>
      <c r="K52" s="237"/>
    </row>
    <row r="53" spans="1:11" s="238" customFormat="1" ht="16" customHeight="1" x14ac:dyDescent="0.2">
      <c r="A53" s="237"/>
      <c r="B53" s="234" t="s">
        <v>376</v>
      </c>
      <c r="C53" s="235">
        <v>0</v>
      </c>
      <c r="D53" s="236" t="s">
        <v>296</v>
      </c>
      <c r="E53" s="236" t="s">
        <v>5</v>
      </c>
      <c r="F53" s="236" t="s">
        <v>5</v>
      </c>
      <c r="G53" s="236" t="s">
        <v>6</v>
      </c>
      <c r="H53" s="236" t="s">
        <v>6</v>
      </c>
      <c r="I53" s="236" t="s">
        <v>297</v>
      </c>
      <c r="J53" s="231"/>
      <c r="K53" s="237"/>
    </row>
    <row r="54" spans="1:11" s="238" customFormat="1" ht="16" customHeight="1" x14ac:dyDescent="0.2">
      <c r="A54" s="237"/>
      <c r="B54" s="234" t="s">
        <v>377</v>
      </c>
      <c r="C54" s="235" t="s">
        <v>476</v>
      </c>
      <c r="D54" s="236" t="s">
        <v>287</v>
      </c>
      <c r="E54" s="236" t="s">
        <v>5</v>
      </c>
      <c r="F54" s="236" t="s">
        <v>5</v>
      </c>
      <c r="G54" s="236" t="s">
        <v>6</v>
      </c>
      <c r="H54" s="236" t="s">
        <v>6</v>
      </c>
      <c r="I54" s="236"/>
      <c r="J54" s="231"/>
      <c r="K54" s="237"/>
    </row>
    <row r="55" spans="1:11" s="238" customFormat="1" ht="16" customHeight="1" x14ac:dyDescent="0.2">
      <c r="A55" s="237"/>
      <c r="B55" s="234" t="s">
        <v>377</v>
      </c>
      <c r="C55" s="235">
        <v>0</v>
      </c>
      <c r="D55" s="236" t="s">
        <v>296</v>
      </c>
      <c r="E55" s="236"/>
      <c r="F55" s="236"/>
      <c r="G55" s="236"/>
      <c r="H55" s="236"/>
      <c r="I55" s="236" t="s">
        <v>297</v>
      </c>
      <c r="J55" s="231"/>
      <c r="K55" s="237"/>
    </row>
    <row r="56" spans="1:11" s="238" customFormat="1" ht="16" customHeight="1" x14ac:dyDescent="0.2">
      <c r="A56" s="237"/>
      <c r="B56" s="234" t="s">
        <v>378</v>
      </c>
      <c r="C56" s="235" t="s">
        <v>476</v>
      </c>
      <c r="D56" s="236" t="s">
        <v>287</v>
      </c>
      <c r="E56" s="236" t="s">
        <v>6</v>
      </c>
      <c r="F56" s="236" t="s">
        <v>6</v>
      </c>
      <c r="G56" s="236" t="s">
        <v>301</v>
      </c>
      <c r="H56" s="236" t="s">
        <v>6</v>
      </c>
      <c r="I56" s="236"/>
      <c r="J56" s="231"/>
      <c r="K56" s="237"/>
    </row>
    <row r="57" spans="1:11" s="238" customFormat="1" ht="16" customHeight="1" x14ac:dyDescent="0.2">
      <c r="A57" s="237"/>
      <c r="B57" s="234" t="s">
        <v>379</v>
      </c>
      <c r="C57" s="235">
        <v>0</v>
      </c>
      <c r="D57" s="236" t="s">
        <v>380</v>
      </c>
      <c r="E57" s="236" t="s">
        <v>6</v>
      </c>
      <c r="F57" s="236" t="s">
        <v>6</v>
      </c>
      <c r="G57" s="236" t="s">
        <v>6</v>
      </c>
      <c r="H57" s="236" t="s">
        <v>6</v>
      </c>
      <c r="I57" s="236" t="s">
        <v>381</v>
      </c>
      <c r="J57" s="231" t="s">
        <v>510</v>
      </c>
      <c r="K57" s="237"/>
    </row>
    <row r="58" spans="1:11" s="238" customFormat="1" ht="16" customHeight="1" x14ac:dyDescent="0.2">
      <c r="A58" s="237"/>
      <c r="B58" s="234" t="s">
        <v>382</v>
      </c>
      <c r="C58" s="235" t="s">
        <v>491</v>
      </c>
      <c r="D58" s="236" t="s">
        <v>380</v>
      </c>
      <c r="E58" s="236" t="s">
        <v>6</v>
      </c>
      <c r="F58" s="236" t="s">
        <v>6</v>
      </c>
      <c r="G58" s="236" t="s">
        <v>6</v>
      </c>
      <c r="H58" s="236" t="s">
        <v>6</v>
      </c>
      <c r="I58" s="236"/>
      <c r="J58" s="231"/>
      <c r="K58" s="237"/>
    </row>
    <row r="59" spans="1:11" s="238" customFormat="1" ht="16" customHeight="1" x14ac:dyDescent="0.2">
      <c r="A59" s="237"/>
      <c r="B59" s="234" t="s">
        <v>383</v>
      </c>
      <c r="C59" s="235" t="s">
        <v>475</v>
      </c>
      <c r="D59" s="236" t="s">
        <v>287</v>
      </c>
      <c r="E59" s="236"/>
      <c r="F59" s="236"/>
      <c r="G59" s="236"/>
      <c r="H59" s="236"/>
      <c r="I59" s="236" t="s">
        <v>349</v>
      </c>
      <c r="J59" s="231"/>
      <c r="K59" s="237"/>
    </row>
    <row r="60" spans="1:11" s="238" customFormat="1" ht="16" customHeight="1" x14ac:dyDescent="0.2">
      <c r="A60" s="237"/>
      <c r="B60" s="234" t="s">
        <v>384</v>
      </c>
      <c r="C60" s="235" t="s">
        <v>480</v>
      </c>
      <c r="D60" s="236" t="s">
        <v>287</v>
      </c>
      <c r="E60" s="236" t="s">
        <v>6</v>
      </c>
      <c r="F60" s="236" t="s">
        <v>6</v>
      </c>
      <c r="G60" s="236" t="s">
        <v>324</v>
      </c>
      <c r="H60" s="236" t="s">
        <v>6</v>
      </c>
      <c r="I60" s="236"/>
      <c r="J60" s="231"/>
      <c r="K60" s="237"/>
    </row>
    <row r="61" spans="1:11" s="238" customFormat="1" ht="16" customHeight="1" x14ac:dyDescent="0.2">
      <c r="A61" s="237"/>
      <c r="B61" s="234" t="s">
        <v>385</v>
      </c>
      <c r="C61" s="235" t="s">
        <v>475</v>
      </c>
      <c r="D61" s="236">
        <v>85</v>
      </c>
      <c r="E61" s="236" t="s">
        <v>6</v>
      </c>
      <c r="F61" s="236" t="s">
        <v>6</v>
      </c>
      <c r="G61" s="236" t="s">
        <v>324</v>
      </c>
      <c r="H61" s="236" t="s">
        <v>5</v>
      </c>
      <c r="I61" s="236" t="s">
        <v>386</v>
      </c>
      <c r="J61" s="231"/>
      <c r="K61" s="237"/>
    </row>
    <row r="62" spans="1:11" s="238" customFormat="1" ht="16" customHeight="1" x14ac:dyDescent="0.2">
      <c r="A62" s="237"/>
      <c r="B62" s="234" t="s">
        <v>387</v>
      </c>
      <c r="C62" s="235" t="s">
        <v>483</v>
      </c>
      <c r="D62" s="236" t="s">
        <v>287</v>
      </c>
      <c r="E62" s="236" t="s">
        <v>6</v>
      </c>
      <c r="F62" s="236" t="s">
        <v>6</v>
      </c>
      <c r="G62" s="236" t="s">
        <v>6</v>
      </c>
      <c r="H62" s="236" t="s">
        <v>5</v>
      </c>
      <c r="I62" s="236"/>
      <c r="J62" s="231"/>
      <c r="K62" s="237"/>
    </row>
    <row r="63" spans="1:11" s="238" customFormat="1" ht="16" customHeight="1" x14ac:dyDescent="0.2">
      <c r="A63" s="237"/>
      <c r="B63" s="234" t="s">
        <v>388</v>
      </c>
      <c r="C63" s="235" t="s">
        <v>476</v>
      </c>
      <c r="D63" s="236" t="s">
        <v>287</v>
      </c>
      <c r="E63" s="236" t="s">
        <v>6</v>
      </c>
      <c r="F63" s="236" t="s">
        <v>6</v>
      </c>
      <c r="G63" s="236" t="s">
        <v>6</v>
      </c>
      <c r="H63" s="236" t="s">
        <v>5</v>
      </c>
      <c r="I63" s="236"/>
      <c r="J63" s="231"/>
      <c r="K63" s="237"/>
    </row>
    <row r="64" spans="1:11" s="238" customFormat="1" ht="16" customHeight="1" x14ac:dyDescent="0.2">
      <c r="A64" s="237"/>
      <c r="B64" s="234" t="s">
        <v>389</v>
      </c>
      <c r="C64" s="235">
        <v>0</v>
      </c>
      <c r="D64" s="236" t="s">
        <v>296</v>
      </c>
      <c r="E64" s="236"/>
      <c r="F64" s="236"/>
      <c r="G64" s="236"/>
      <c r="H64" s="236"/>
      <c r="I64" s="236" t="s">
        <v>320</v>
      </c>
      <c r="J64" s="231"/>
      <c r="K64" s="237"/>
    </row>
    <row r="65" spans="1:11" s="238" customFormat="1" ht="16" customHeight="1" x14ac:dyDescent="0.2">
      <c r="A65" s="237"/>
      <c r="B65" s="234" t="s">
        <v>390</v>
      </c>
      <c r="C65" s="235" t="s">
        <v>478</v>
      </c>
      <c r="D65" s="236" t="s">
        <v>287</v>
      </c>
      <c r="E65" s="236" t="s">
        <v>6</v>
      </c>
      <c r="F65" s="236" t="s">
        <v>6</v>
      </c>
      <c r="G65" s="236" t="s">
        <v>306</v>
      </c>
      <c r="H65" s="236" t="s">
        <v>5</v>
      </c>
      <c r="I65" s="236"/>
      <c r="J65" s="231"/>
      <c r="K65" s="237"/>
    </row>
    <row r="66" spans="1:11" s="238" customFormat="1" ht="16" customHeight="1" x14ac:dyDescent="0.2">
      <c r="A66" s="237"/>
      <c r="B66" s="234" t="s">
        <v>391</v>
      </c>
      <c r="C66" s="235" t="s">
        <v>476</v>
      </c>
      <c r="D66" s="236" t="s">
        <v>287</v>
      </c>
      <c r="E66" s="236" t="s">
        <v>6</v>
      </c>
      <c r="F66" s="236" t="s">
        <v>5</v>
      </c>
      <c r="G66" s="236" t="s">
        <v>6</v>
      </c>
      <c r="H66" s="236" t="s">
        <v>5</v>
      </c>
      <c r="I66" s="236"/>
      <c r="J66" s="231"/>
      <c r="K66" s="237"/>
    </row>
    <row r="67" spans="1:11" s="238" customFormat="1" ht="16" customHeight="1" x14ac:dyDescent="0.2">
      <c r="A67" s="237"/>
      <c r="B67" s="234" t="s">
        <v>392</v>
      </c>
      <c r="C67" s="235" t="s">
        <v>475</v>
      </c>
      <c r="D67" s="236" t="s">
        <v>319</v>
      </c>
      <c r="E67" s="236"/>
      <c r="F67" s="236"/>
      <c r="G67" s="236"/>
      <c r="H67" s="236"/>
      <c r="I67" s="236" t="s">
        <v>393</v>
      </c>
      <c r="J67" s="231"/>
      <c r="K67" s="237"/>
    </row>
    <row r="68" spans="1:11" s="238" customFormat="1" ht="16" customHeight="1" x14ac:dyDescent="0.2">
      <c r="A68" s="237"/>
      <c r="B68" s="234" t="s">
        <v>394</v>
      </c>
      <c r="C68" s="235" t="s">
        <v>492</v>
      </c>
      <c r="D68" s="236" t="s">
        <v>380</v>
      </c>
      <c r="E68" s="236"/>
      <c r="F68" s="236"/>
      <c r="G68" s="236"/>
      <c r="H68" s="236"/>
      <c r="I68" s="236" t="s">
        <v>395</v>
      </c>
      <c r="J68" s="231"/>
      <c r="K68" s="237"/>
    </row>
    <row r="69" spans="1:11" s="238" customFormat="1" ht="16" customHeight="1" x14ac:dyDescent="0.2">
      <c r="A69" s="237"/>
      <c r="B69" s="234" t="s">
        <v>396</v>
      </c>
      <c r="C69" s="235">
        <v>0</v>
      </c>
      <c r="D69" s="236" t="s">
        <v>296</v>
      </c>
      <c r="E69" s="236"/>
      <c r="F69" s="236"/>
      <c r="G69" s="236"/>
      <c r="H69" s="236"/>
      <c r="I69" s="236" t="s">
        <v>297</v>
      </c>
      <c r="J69" s="231"/>
      <c r="K69" s="237"/>
    </row>
    <row r="70" spans="1:11" s="238" customFormat="1" ht="16" customHeight="1" x14ac:dyDescent="0.2">
      <c r="A70" s="237"/>
      <c r="B70" s="234" t="s">
        <v>397</v>
      </c>
      <c r="C70" s="235" t="s">
        <v>476</v>
      </c>
      <c r="D70" s="236" t="s">
        <v>287</v>
      </c>
      <c r="E70" s="236" t="s">
        <v>6</v>
      </c>
      <c r="F70" s="236" t="s">
        <v>6</v>
      </c>
      <c r="G70" s="236" t="s">
        <v>288</v>
      </c>
      <c r="H70" s="236" t="s">
        <v>5</v>
      </c>
      <c r="I70" s="236"/>
      <c r="J70" s="231"/>
      <c r="K70" s="237"/>
    </row>
    <row r="71" spans="1:11" s="238" customFormat="1" ht="16" customHeight="1" x14ac:dyDescent="0.2">
      <c r="A71" s="237"/>
      <c r="B71" s="234" t="s">
        <v>398</v>
      </c>
      <c r="C71" s="235" t="s">
        <v>476</v>
      </c>
      <c r="D71" s="236" t="s">
        <v>287</v>
      </c>
      <c r="E71" s="236" t="s">
        <v>399</v>
      </c>
      <c r="F71" s="236" t="s">
        <v>6</v>
      </c>
      <c r="G71" s="236" t="s">
        <v>301</v>
      </c>
      <c r="H71" s="236" t="s">
        <v>302</v>
      </c>
      <c r="I71" s="236"/>
      <c r="J71" s="231"/>
      <c r="K71" s="237"/>
    </row>
    <row r="72" spans="1:11" s="238" customFormat="1" ht="16" customHeight="1" x14ac:dyDescent="0.2">
      <c r="A72" s="237"/>
      <c r="B72" s="234" t="s">
        <v>400</v>
      </c>
      <c r="C72" s="235">
        <v>0</v>
      </c>
      <c r="D72" s="236" t="s">
        <v>319</v>
      </c>
      <c r="E72" s="236" t="s">
        <v>5</v>
      </c>
      <c r="F72" s="236" t="s">
        <v>5</v>
      </c>
      <c r="G72" s="236" t="s">
        <v>6</v>
      </c>
      <c r="H72" s="236" t="s">
        <v>6</v>
      </c>
      <c r="I72" s="236" t="s">
        <v>334</v>
      </c>
      <c r="J72" s="231"/>
      <c r="K72" s="237"/>
    </row>
    <row r="73" spans="1:11" s="238" customFormat="1" ht="16" customHeight="1" x14ac:dyDescent="0.2">
      <c r="A73" s="237"/>
      <c r="B73" s="234" t="s">
        <v>401</v>
      </c>
      <c r="C73" s="235">
        <v>0</v>
      </c>
      <c r="D73" s="236" t="s">
        <v>296</v>
      </c>
      <c r="E73" s="236" t="s">
        <v>5</v>
      </c>
      <c r="F73" s="236" t="s">
        <v>5</v>
      </c>
      <c r="G73" s="236" t="s">
        <v>6</v>
      </c>
      <c r="H73" s="236" t="s">
        <v>5</v>
      </c>
      <c r="I73" s="236" t="s">
        <v>334</v>
      </c>
      <c r="J73" s="231"/>
      <c r="K73" s="237"/>
    </row>
    <row r="74" spans="1:11" s="238" customFormat="1" ht="16" customHeight="1" x14ac:dyDescent="0.2">
      <c r="A74" s="237"/>
      <c r="B74" s="234" t="s">
        <v>402</v>
      </c>
      <c r="C74" s="235" t="s">
        <v>493</v>
      </c>
      <c r="D74" s="236" t="s">
        <v>287</v>
      </c>
      <c r="E74" s="236" t="s">
        <v>6</v>
      </c>
      <c r="F74" s="236" t="s">
        <v>6</v>
      </c>
      <c r="G74" s="236" t="s">
        <v>324</v>
      </c>
      <c r="H74" s="236" t="s">
        <v>6</v>
      </c>
      <c r="I74" s="236"/>
      <c r="J74" s="231"/>
      <c r="K74" s="237"/>
    </row>
    <row r="75" spans="1:11" s="238" customFormat="1" ht="16" customHeight="1" x14ac:dyDescent="0.2">
      <c r="A75" s="237"/>
      <c r="B75" s="234" t="s">
        <v>403</v>
      </c>
      <c r="C75" s="235">
        <v>0</v>
      </c>
      <c r="D75" s="236" t="s">
        <v>319</v>
      </c>
      <c r="E75" s="236" t="s">
        <v>6</v>
      </c>
      <c r="F75" s="236" t="s">
        <v>5</v>
      </c>
      <c r="G75" s="236" t="s">
        <v>6</v>
      </c>
      <c r="H75" s="236" t="s">
        <v>5</v>
      </c>
      <c r="I75" s="236" t="s">
        <v>297</v>
      </c>
      <c r="J75" s="231"/>
      <c r="K75" s="237"/>
    </row>
    <row r="76" spans="1:11" s="238" customFormat="1" ht="16" customHeight="1" x14ac:dyDescent="0.2">
      <c r="A76" s="237"/>
      <c r="B76" s="234" t="s">
        <v>404</v>
      </c>
      <c r="C76" s="235" t="s">
        <v>494</v>
      </c>
      <c r="D76" s="236" t="s">
        <v>287</v>
      </c>
      <c r="E76" s="236" t="s">
        <v>6</v>
      </c>
      <c r="F76" s="236" t="s">
        <v>6</v>
      </c>
      <c r="G76" s="236" t="s">
        <v>324</v>
      </c>
      <c r="H76" s="236" t="s">
        <v>6</v>
      </c>
      <c r="I76" s="236"/>
      <c r="J76" s="231"/>
      <c r="K76" s="237"/>
    </row>
    <row r="77" spans="1:11" s="238" customFormat="1" ht="16" customHeight="1" x14ac:dyDescent="0.2">
      <c r="A77" s="237"/>
      <c r="B77" s="234" t="s">
        <v>405</v>
      </c>
      <c r="C77" s="235" t="s">
        <v>483</v>
      </c>
      <c r="D77" s="236" t="s">
        <v>287</v>
      </c>
      <c r="E77" s="236" t="s">
        <v>6</v>
      </c>
      <c r="F77" s="236" t="s">
        <v>6</v>
      </c>
      <c r="G77" s="236" t="s">
        <v>324</v>
      </c>
      <c r="H77" s="236" t="s">
        <v>6</v>
      </c>
      <c r="I77" s="236"/>
      <c r="J77" s="231"/>
      <c r="K77" s="237"/>
    </row>
    <row r="78" spans="1:11" s="238" customFormat="1" ht="16" customHeight="1" x14ac:dyDescent="0.2">
      <c r="A78" s="237"/>
      <c r="B78" s="234" t="s">
        <v>406</v>
      </c>
      <c r="C78" s="235" t="s">
        <v>489</v>
      </c>
      <c r="D78" s="236" t="s">
        <v>299</v>
      </c>
      <c r="E78" s="236" t="s">
        <v>6</v>
      </c>
      <c r="F78" s="236" t="s">
        <v>6</v>
      </c>
      <c r="G78" s="236" t="s">
        <v>306</v>
      </c>
      <c r="H78" s="236" t="s">
        <v>5</v>
      </c>
      <c r="I78" s="236"/>
      <c r="J78" s="231"/>
      <c r="K78" s="237"/>
    </row>
    <row r="79" spans="1:11" s="238" customFormat="1" ht="16" customHeight="1" x14ac:dyDescent="0.2">
      <c r="A79" s="237"/>
      <c r="B79" s="234" t="s">
        <v>407</v>
      </c>
      <c r="C79" s="235" t="s">
        <v>489</v>
      </c>
      <c r="D79" s="236" t="s">
        <v>299</v>
      </c>
      <c r="E79" s="236" t="s">
        <v>6</v>
      </c>
      <c r="F79" s="236" t="s">
        <v>6</v>
      </c>
      <c r="G79" s="236" t="s">
        <v>324</v>
      </c>
      <c r="H79" s="236" t="s">
        <v>5</v>
      </c>
      <c r="I79" s="236"/>
      <c r="J79" s="231" t="s">
        <v>509</v>
      </c>
      <c r="K79" s="237"/>
    </row>
    <row r="80" spans="1:11" s="238" customFormat="1" ht="16" customHeight="1" x14ac:dyDescent="0.2">
      <c r="A80" s="237"/>
      <c r="B80" s="234" t="s">
        <v>408</v>
      </c>
      <c r="C80" s="235" t="s">
        <v>489</v>
      </c>
      <c r="D80" s="236" t="s">
        <v>299</v>
      </c>
      <c r="E80" s="236" t="s">
        <v>6</v>
      </c>
      <c r="F80" s="236" t="s">
        <v>6</v>
      </c>
      <c r="G80" s="236" t="s">
        <v>301</v>
      </c>
      <c r="H80" s="236" t="s">
        <v>5</v>
      </c>
      <c r="I80" s="236"/>
      <c r="J80" s="231" t="s">
        <v>509</v>
      </c>
      <c r="K80" s="237"/>
    </row>
    <row r="81" spans="1:11" s="238" customFormat="1" ht="16" customHeight="1" x14ac:dyDescent="0.2">
      <c r="A81" s="237"/>
      <c r="B81" s="234" t="s">
        <v>409</v>
      </c>
      <c r="C81" s="235" t="s">
        <v>489</v>
      </c>
      <c r="D81" s="236" t="s">
        <v>299</v>
      </c>
      <c r="E81" s="236" t="s">
        <v>6</v>
      </c>
      <c r="F81" s="236" t="s">
        <v>6</v>
      </c>
      <c r="G81" s="236" t="s">
        <v>306</v>
      </c>
      <c r="H81" s="236" t="s">
        <v>5</v>
      </c>
      <c r="I81" s="236"/>
      <c r="J81" s="231" t="s">
        <v>509</v>
      </c>
      <c r="K81" s="237"/>
    </row>
    <row r="82" spans="1:11" s="238" customFormat="1" ht="16" customHeight="1" x14ac:dyDescent="0.2">
      <c r="A82" s="237"/>
      <c r="B82" s="234" t="s">
        <v>410</v>
      </c>
      <c r="C82" s="235">
        <v>0</v>
      </c>
      <c r="D82" s="236">
        <v>95</v>
      </c>
      <c r="E82" s="236" t="s">
        <v>6</v>
      </c>
      <c r="F82" s="236" t="s">
        <v>5</v>
      </c>
      <c r="G82" s="236" t="s">
        <v>6</v>
      </c>
      <c r="H82" s="236" t="s">
        <v>5</v>
      </c>
      <c r="I82" s="236" t="s">
        <v>411</v>
      </c>
      <c r="J82" s="231"/>
      <c r="K82" s="237"/>
    </row>
    <row r="83" spans="1:11" s="238" customFormat="1" ht="16" customHeight="1" x14ac:dyDescent="0.2">
      <c r="A83" s="237"/>
      <c r="B83" s="234" t="s">
        <v>412</v>
      </c>
      <c r="C83" s="235" t="s">
        <v>476</v>
      </c>
      <c r="D83" s="236" t="s">
        <v>287</v>
      </c>
      <c r="E83" s="236" t="s">
        <v>6</v>
      </c>
      <c r="F83" s="236" t="s">
        <v>6</v>
      </c>
      <c r="G83" s="236" t="s">
        <v>6</v>
      </c>
      <c r="H83" s="236" t="s">
        <v>5</v>
      </c>
      <c r="I83" s="236"/>
      <c r="J83" s="231"/>
      <c r="K83" s="237"/>
    </row>
    <row r="84" spans="1:11" s="238" customFormat="1" ht="16" customHeight="1" x14ac:dyDescent="0.2">
      <c r="A84" s="237"/>
      <c r="B84" s="234" t="s">
        <v>413</v>
      </c>
      <c r="C84" s="235" t="s">
        <v>475</v>
      </c>
      <c r="D84" s="236" t="s">
        <v>287</v>
      </c>
      <c r="E84" s="236" t="s">
        <v>6</v>
      </c>
      <c r="F84" s="236" t="s">
        <v>6</v>
      </c>
      <c r="G84" s="236" t="s">
        <v>288</v>
      </c>
      <c r="H84" s="236" t="s">
        <v>6</v>
      </c>
      <c r="I84" s="236" t="s">
        <v>361</v>
      </c>
      <c r="J84" s="231"/>
      <c r="K84" s="237"/>
    </row>
    <row r="85" spans="1:11" s="238" customFormat="1" ht="16" customHeight="1" x14ac:dyDescent="0.2">
      <c r="A85" s="237"/>
      <c r="B85" s="234" t="s">
        <v>414</v>
      </c>
      <c r="C85" s="235" t="s">
        <v>478</v>
      </c>
      <c r="D85" s="236" t="s">
        <v>287</v>
      </c>
      <c r="E85" s="236" t="s">
        <v>6</v>
      </c>
      <c r="F85" s="236" t="s">
        <v>6</v>
      </c>
      <c r="G85" s="236" t="s">
        <v>324</v>
      </c>
      <c r="H85" s="236" t="s">
        <v>5</v>
      </c>
      <c r="I85" s="236" t="s">
        <v>312</v>
      </c>
      <c r="J85" s="231"/>
      <c r="K85" s="237"/>
    </row>
    <row r="86" spans="1:11" s="238" customFormat="1" ht="16" customHeight="1" x14ac:dyDescent="0.2">
      <c r="A86" s="237"/>
      <c r="B86" s="234" t="s">
        <v>415</v>
      </c>
      <c r="C86" s="235" t="s">
        <v>476</v>
      </c>
      <c r="D86" s="236" t="s">
        <v>416</v>
      </c>
      <c r="E86" s="236" t="s">
        <v>6</v>
      </c>
      <c r="F86" s="236" t="s">
        <v>6</v>
      </c>
      <c r="G86" s="236" t="s">
        <v>6</v>
      </c>
      <c r="H86" s="236" t="s">
        <v>6</v>
      </c>
      <c r="I86" s="236"/>
      <c r="J86" s="231" t="s">
        <v>510</v>
      </c>
      <c r="K86" s="237"/>
    </row>
    <row r="87" spans="1:11" s="238" customFormat="1" ht="16" customHeight="1" x14ac:dyDescent="0.2">
      <c r="A87" s="237"/>
      <c r="B87" s="234" t="s">
        <v>417</v>
      </c>
      <c r="C87" s="235" t="s">
        <v>483</v>
      </c>
      <c r="D87" s="236" t="s">
        <v>287</v>
      </c>
      <c r="E87" s="236" t="s">
        <v>6</v>
      </c>
      <c r="F87" s="236" t="s">
        <v>6</v>
      </c>
      <c r="G87" s="236" t="s">
        <v>324</v>
      </c>
      <c r="H87" s="236" t="s">
        <v>6</v>
      </c>
      <c r="I87" s="236"/>
      <c r="J87" s="231"/>
      <c r="K87" s="237"/>
    </row>
    <row r="88" spans="1:11" s="238" customFormat="1" ht="16" customHeight="1" x14ac:dyDescent="0.2">
      <c r="A88" s="237"/>
      <c r="B88" s="234" t="s">
        <v>418</v>
      </c>
      <c r="C88" s="235" t="s">
        <v>489</v>
      </c>
      <c r="D88" s="236" t="s">
        <v>299</v>
      </c>
      <c r="E88" s="236" t="s">
        <v>6</v>
      </c>
      <c r="F88" s="236" t="s">
        <v>6</v>
      </c>
      <c r="G88" s="236" t="s">
        <v>306</v>
      </c>
      <c r="H88" s="236" t="s">
        <v>5</v>
      </c>
      <c r="I88" s="236"/>
      <c r="J88" s="231"/>
      <c r="K88" s="237"/>
    </row>
    <row r="89" spans="1:11" s="238" customFormat="1" ht="16" customHeight="1" x14ac:dyDescent="0.2">
      <c r="A89" s="237"/>
      <c r="B89" s="234" t="s">
        <v>419</v>
      </c>
      <c r="C89" s="235">
        <v>0</v>
      </c>
      <c r="D89" s="236" t="s">
        <v>296</v>
      </c>
      <c r="E89" s="236"/>
      <c r="F89" s="236"/>
      <c r="G89" s="236"/>
      <c r="H89" s="236"/>
      <c r="I89" s="236" t="s">
        <v>334</v>
      </c>
      <c r="J89" s="231"/>
      <c r="K89" s="237"/>
    </row>
    <row r="90" spans="1:11" s="238" customFormat="1" ht="16" customHeight="1" x14ac:dyDescent="0.2">
      <c r="A90" s="237"/>
      <c r="B90" s="234" t="s">
        <v>420</v>
      </c>
      <c r="C90" s="235">
        <v>0</v>
      </c>
      <c r="D90" s="236" t="s">
        <v>319</v>
      </c>
      <c r="E90" s="236" t="s">
        <v>5</v>
      </c>
      <c r="F90" s="236" t="s">
        <v>5</v>
      </c>
      <c r="G90" s="236" t="s">
        <v>6</v>
      </c>
      <c r="H90" s="236" t="s">
        <v>5</v>
      </c>
      <c r="I90" s="236" t="s">
        <v>322</v>
      </c>
      <c r="J90" s="231"/>
      <c r="K90" s="237"/>
    </row>
    <row r="91" spans="1:11" s="238" customFormat="1" ht="16" customHeight="1" x14ac:dyDescent="0.2">
      <c r="A91" s="237"/>
      <c r="B91" s="234" t="s">
        <v>421</v>
      </c>
      <c r="C91" s="235" t="s">
        <v>475</v>
      </c>
      <c r="D91" s="236" t="s">
        <v>287</v>
      </c>
      <c r="E91" s="236" t="s">
        <v>6</v>
      </c>
      <c r="F91" s="236" t="s">
        <v>6</v>
      </c>
      <c r="G91" s="236" t="s">
        <v>288</v>
      </c>
      <c r="H91" s="236" t="s">
        <v>5</v>
      </c>
      <c r="I91" s="236" t="s">
        <v>361</v>
      </c>
      <c r="J91" s="231"/>
      <c r="K91" s="237"/>
    </row>
    <row r="92" spans="1:11" s="238" customFormat="1" ht="16" customHeight="1" x14ac:dyDescent="0.2">
      <c r="A92" s="237"/>
      <c r="B92" s="234" t="s">
        <v>422</v>
      </c>
      <c r="C92" s="235" t="s">
        <v>495</v>
      </c>
      <c r="D92" s="236" t="s">
        <v>287</v>
      </c>
      <c r="E92" s="236" t="s">
        <v>6</v>
      </c>
      <c r="F92" s="236" t="s">
        <v>6</v>
      </c>
      <c r="G92" s="236" t="s">
        <v>288</v>
      </c>
      <c r="H92" s="236" t="s">
        <v>5</v>
      </c>
      <c r="I92" s="236" t="s">
        <v>423</v>
      </c>
      <c r="J92" s="231"/>
      <c r="K92" s="237"/>
    </row>
    <row r="93" spans="1:11" s="238" customFormat="1" ht="16" customHeight="1" x14ac:dyDescent="0.2">
      <c r="A93" s="237"/>
      <c r="B93" s="234" t="s">
        <v>424</v>
      </c>
      <c r="C93" s="235">
        <v>0</v>
      </c>
      <c r="D93" s="236" t="s">
        <v>348</v>
      </c>
      <c r="E93" s="236"/>
      <c r="F93" s="236"/>
      <c r="G93" s="236"/>
      <c r="H93" s="236"/>
      <c r="I93" s="236" t="s">
        <v>375</v>
      </c>
      <c r="J93" s="231"/>
      <c r="K93" s="237"/>
    </row>
    <row r="94" spans="1:11" s="238" customFormat="1" ht="16" customHeight="1" x14ac:dyDescent="0.2">
      <c r="A94" s="237"/>
      <c r="B94" s="234" t="s">
        <v>425</v>
      </c>
      <c r="C94" s="235" t="s">
        <v>496</v>
      </c>
      <c r="D94" s="236">
        <v>95</v>
      </c>
      <c r="E94" s="236"/>
      <c r="F94" s="236"/>
      <c r="G94" s="236"/>
      <c r="H94" s="236"/>
      <c r="I94" s="236" t="s">
        <v>426</v>
      </c>
      <c r="J94" s="231"/>
      <c r="K94" s="237"/>
    </row>
    <row r="95" spans="1:11" s="238" customFormat="1" ht="16" customHeight="1" x14ac:dyDescent="0.2">
      <c r="A95" s="237"/>
      <c r="B95" s="234" t="s">
        <v>427</v>
      </c>
      <c r="C95" s="235" t="s">
        <v>497</v>
      </c>
      <c r="D95" s="236" t="s">
        <v>428</v>
      </c>
      <c r="E95" s="236" t="s">
        <v>6</v>
      </c>
      <c r="F95" s="236" t="s">
        <v>6</v>
      </c>
      <c r="G95" s="236" t="s">
        <v>6</v>
      </c>
      <c r="H95" s="236" t="s">
        <v>5</v>
      </c>
      <c r="I95" s="236" t="s">
        <v>429</v>
      </c>
      <c r="J95" s="231"/>
      <c r="K95" s="237"/>
    </row>
    <row r="96" spans="1:11" s="238" customFormat="1" ht="16" customHeight="1" x14ac:dyDescent="0.2">
      <c r="A96" s="237"/>
      <c r="B96" s="234" t="s">
        <v>430</v>
      </c>
      <c r="C96" s="235" t="s">
        <v>498</v>
      </c>
      <c r="D96" s="236" t="s">
        <v>287</v>
      </c>
      <c r="E96" s="236" t="s">
        <v>6</v>
      </c>
      <c r="F96" s="236" t="s">
        <v>6</v>
      </c>
      <c r="G96" s="236" t="s">
        <v>6</v>
      </c>
      <c r="H96" s="236" t="s">
        <v>6</v>
      </c>
      <c r="I96" s="236" t="s">
        <v>297</v>
      </c>
      <c r="J96" s="231"/>
      <c r="K96" s="237"/>
    </row>
    <row r="97" spans="1:11" s="238" customFormat="1" ht="16" customHeight="1" x14ac:dyDescent="0.2">
      <c r="A97" s="237"/>
      <c r="B97" s="234" t="s">
        <v>431</v>
      </c>
      <c r="C97" s="235" t="s">
        <v>476</v>
      </c>
      <c r="D97" s="236" t="s">
        <v>287</v>
      </c>
      <c r="E97" s="236" t="s">
        <v>6</v>
      </c>
      <c r="F97" s="236" t="s">
        <v>6</v>
      </c>
      <c r="G97" s="236" t="s">
        <v>6</v>
      </c>
      <c r="H97" s="236" t="s">
        <v>302</v>
      </c>
      <c r="I97" s="236"/>
      <c r="J97" s="231"/>
      <c r="K97" s="237"/>
    </row>
    <row r="98" spans="1:11" s="238" customFormat="1" ht="16" customHeight="1" x14ac:dyDescent="0.2">
      <c r="A98" s="237"/>
      <c r="B98" s="234" t="s">
        <v>432</v>
      </c>
      <c r="C98" s="235" t="s">
        <v>489</v>
      </c>
      <c r="D98" s="236" t="s">
        <v>299</v>
      </c>
      <c r="E98" s="236" t="s">
        <v>6</v>
      </c>
      <c r="F98" s="236" t="s">
        <v>6</v>
      </c>
      <c r="G98" s="236" t="s">
        <v>324</v>
      </c>
      <c r="H98" s="236" t="s">
        <v>6</v>
      </c>
      <c r="I98" s="236"/>
      <c r="J98" s="231" t="s">
        <v>433</v>
      </c>
      <c r="K98" s="237"/>
    </row>
    <row r="99" spans="1:11" s="238" customFormat="1" ht="16" customHeight="1" x14ac:dyDescent="0.2">
      <c r="A99" s="237"/>
      <c r="B99" s="234" t="s">
        <v>434</v>
      </c>
      <c r="C99" s="235" t="s">
        <v>475</v>
      </c>
      <c r="D99" s="236" t="s">
        <v>287</v>
      </c>
      <c r="E99" s="236" t="s">
        <v>6</v>
      </c>
      <c r="F99" s="236" t="s">
        <v>6</v>
      </c>
      <c r="G99" s="236" t="s">
        <v>288</v>
      </c>
      <c r="H99" s="236" t="s">
        <v>5</v>
      </c>
      <c r="I99" s="236" t="s">
        <v>435</v>
      </c>
      <c r="J99" s="231"/>
      <c r="K99" s="237"/>
    </row>
    <row r="100" spans="1:11" s="238" customFormat="1" ht="16" customHeight="1" x14ac:dyDescent="0.2">
      <c r="A100" s="237"/>
      <c r="B100" s="234" t="s">
        <v>436</v>
      </c>
      <c r="C100" s="235" t="s">
        <v>499</v>
      </c>
      <c r="D100" s="236" t="s">
        <v>287</v>
      </c>
      <c r="E100" s="236" t="s">
        <v>6</v>
      </c>
      <c r="F100" s="236" t="s">
        <v>6</v>
      </c>
      <c r="G100" s="236" t="s">
        <v>6</v>
      </c>
      <c r="H100" s="236" t="s">
        <v>6</v>
      </c>
      <c r="I100" s="236"/>
      <c r="J100" s="231"/>
      <c r="K100" s="237"/>
    </row>
    <row r="101" spans="1:11" s="238" customFormat="1" ht="16" customHeight="1" x14ac:dyDescent="0.2">
      <c r="A101" s="237"/>
      <c r="B101" s="234" t="s">
        <v>437</v>
      </c>
      <c r="C101" s="235" t="s">
        <v>478</v>
      </c>
      <c r="D101" s="236" t="s">
        <v>287</v>
      </c>
      <c r="E101" s="236" t="s">
        <v>6</v>
      </c>
      <c r="F101" s="236" t="s">
        <v>6</v>
      </c>
      <c r="G101" s="236" t="s">
        <v>6</v>
      </c>
      <c r="H101" s="236" t="s">
        <v>5</v>
      </c>
      <c r="I101" s="236"/>
      <c r="J101" s="231"/>
      <c r="K101" s="237"/>
    </row>
    <row r="102" spans="1:11" s="238" customFormat="1" ht="16" customHeight="1" x14ac:dyDescent="0.2">
      <c r="A102" s="237"/>
      <c r="B102" s="234" t="s">
        <v>438</v>
      </c>
      <c r="C102" s="235" t="s">
        <v>476</v>
      </c>
      <c r="D102" s="236" t="s">
        <v>287</v>
      </c>
      <c r="E102" s="236" t="s">
        <v>6</v>
      </c>
      <c r="F102" s="236" t="s">
        <v>6</v>
      </c>
      <c r="G102" s="236" t="s">
        <v>301</v>
      </c>
      <c r="H102" s="236" t="s">
        <v>6</v>
      </c>
      <c r="I102" s="236"/>
      <c r="J102" s="231"/>
      <c r="K102" s="237"/>
    </row>
    <row r="103" spans="1:11" s="238" customFormat="1" ht="16" customHeight="1" x14ac:dyDescent="0.2">
      <c r="A103" s="237"/>
      <c r="B103" s="234" t="s">
        <v>439</v>
      </c>
      <c r="C103" s="235" t="s">
        <v>476</v>
      </c>
      <c r="D103" s="236" t="s">
        <v>287</v>
      </c>
      <c r="E103" s="236" t="s">
        <v>6</v>
      </c>
      <c r="F103" s="236" t="s">
        <v>6</v>
      </c>
      <c r="G103" s="236" t="s">
        <v>6</v>
      </c>
      <c r="H103" s="236" t="s">
        <v>5</v>
      </c>
      <c r="I103" s="236"/>
      <c r="J103" s="231"/>
      <c r="K103" s="237"/>
    </row>
    <row r="104" spans="1:11" s="238" customFormat="1" ht="16" customHeight="1" x14ac:dyDescent="0.2">
      <c r="A104" s="237"/>
      <c r="B104" s="234" t="s">
        <v>440</v>
      </c>
      <c r="C104" s="235" t="s">
        <v>475</v>
      </c>
      <c r="D104" s="236" t="s">
        <v>287</v>
      </c>
      <c r="E104" s="236" t="s">
        <v>6</v>
      </c>
      <c r="F104" s="236" t="s">
        <v>6</v>
      </c>
      <c r="G104" s="236" t="s">
        <v>288</v>
      </c>
      <c r="H104" s="236" t="s">
        <v>5</v>
      </c>
      <c r="I104" s="236" t="s">
        <v>435</v>
      </c>
      <c r="J104" s="231"/>
      <c r="K104" s="237"/>
    </row>
    <row r="105" spans="1:11" s="238" customFormat="1" ht="16" customHeight="1" x14ac:dyDescent="0.2">
      <c r="A105" s="237"/>
      <c r="B105" s="234" t="s">
        <v>441</v>
      </c>
      <c r="C105" s="235" t="s">
        <v>489</v>
      </c>
      <c r="D105" s="236" t="s">
        <v>380</v>
      </c>
      <c r="E105" s="236" t="s">
        <v>6</v>
      </c>
      <c r="F105" s="236" t="s">
        <v>6</v>
      </c>
      <c r="G105" s="236" t="s">
        <v>6</v>
      </c>
      <c r="H105" s="236" t="s">
        <v>5</v>
      </c>
      <c r="I105" s="236" t="s">
        <v>334</v>
      </c>
      <c r="J105" s="231"/>
      <c r="K105" s="237"/>
    </row>
    <row r="106" spans="1:11" s="238" customFormat="1" ht="16" customHeight="1" x14ac:dyDescent="0.2">
      <c r="A106" s="237"/>
      <c r="B106" s="234" t="s">
        <v>442</v>
      </c>
      <c r="C106" s="235" t="s">
        <v>475</v>
      </c>
      <c r="D106" s="236">
        <v>90</v>
      </c>
      <c r="E106" s="236"/>
      <c r="F106" s="236"/>
      <c r="G106" s="236"/>
      <c r="H106" s="236"/>
      <c r="I106" s="236" t="s">
        <v>334</v>
      </c>
      <c r="J106" s="231"/>
      <c r="K106" s="237"/>
    </row>
    <row r="107" spans="1:11" s="238" customFormat="1" ht="16" customHeight="1" x14ac:dyDescent="0.2">
      <c r="A107" s="237"/>
      <c r="B107" s="234" t="s">
        <v>442</v>
      </c>
      <c r="C107" s="235" t="s">
        <v>476</v>
      </c>
      <c r="D107" s="236" t="s">
        <v>287</v>
      </c>
      <c r="E107" s="236" t="s">
        <v>6</v>
      </c>
      <c r="F107" s="236" t="s">
        <v>6</v>
      </c>
      <c r="G107" s="236" t="s">
        <v>288</v>
      </c>
      <c r="H107" s="236" t="s">
        <v>5</v>
      </c>
      <c r="I107" s="236"/>
      <c r="J107" s="231"/>
      <c r="K107" s="237"/>
    </row>
    <row r="108" spans="1:11" s="238" customFormat="1" ht="16" customHeight="1" x14ac:dyDescent="0.2">
      <c r="A108" s="237"/>
      <c r="B108" s="234" t="s">
        <v>443</v>
      </c>
      <c r="C108" s="235">
        <v>0</v>
      </c>
      <c r="D108" s="236" t="s">
        <v>296</v>
      </c>
      <c r="E108" s="236" t="s">
        <v>5</v>
      </c>
      <c r="F108" s="236" t="s">
        <v>5</v>
      </c>
      <c r="G108" s="236" t="s">
        <v>6</v>
      </c>
      <c r="H108" s="236" t="s">
        <v>5</v>
      </c>
      <c r="I108" s="236" t="s">
        <v>349</v>
      </c>
      <c r="J108" s="231"/>
      <c r="K108" s="237"/>
    </row>
    <row r="109" spans="1:11" s="238" customFormat="1" ht="16" customHeight="1" x14ac:dyDescent="0.2">
      <c r="A109" s="237"/>
      <c r="B109" s="234" t="s">
        <v>444</v>
      </c>
      <c r="C109" s="235">
        <v>0</v>
      </c>
      <c r="D109" s="236" t="s">
        <v>296</v>
      </c>
      <c r="E109" s="236"/>
      <c r="F109" s="236"/>
      <c r="G109" s="236"/>
      <c r="H109" s="236"/>
      <c r="I109" s="236" t="s">
        <v>445</v>
      </c>
      <c r="J109" s="231"/>
      <c r="K109" s="237"/>
    </row>
    <row r="110" spans="1:11" s="238" customFormat="1" ht="16" customHeight="1" x14ac:dyDescent="0.2">
      <c r="A110" s="237"/>
      <c r="B110" s="234" t="s">
        <v>446</v>
      </c>
      <c r="C110" s="235" t="s">
        <v>475</v>
      </c>
      <c r="D110" s="236" t="s">
        <v>287</v>
      </c>
      <c r="E110" s="236" t="s">
        <v>6</v>
      </c>
      <c r="F110" s="236" t="s">
        <v>6</v>
      </c>
      <c r="G110" s="236" t="s">
        <v>324</v>
      </c>
      <c r="H110" s="236" t="s">
        <v>6</v>
      </c>
      <c r="I110" s="236" t="s">
        <v>325</v>
      </c>
      <c r="J110" s="231"/>
      <c r="K110" s="237"/>
    </row>
    <row r="111" spans="1:11" s="238" customFormat="1" ht="16" customHeight="1" x14ac:dyDescent="0.2">
      <c r="A111" s="237"/>
      <c r="B111" s="234" t="s">
        <v>447</v>
      </c>
      <c r="C111" s="235">
        <v>0</v>
      </c>
      <c r="D111" s="236" t="s">
        <v>296</v>
      </c>
      <c r="E111" s="236" t="s">
        <v>6</v>
      </c>
      <c r="F111" s="236" t="s">
        <v>5</v>
      </c>
      <c r="G111" s="236" t="s">
        <v>6</v>
      </c>
      <c r="H111" s="236" t="s">
        <v>6</v>
      </c>
      <c r="I111" s="236" t="s">
        <v>361</v>
      </c>
      <c r="J111" s="231"/>
      <c r="K111" s="237"/>
    </row>
    <row r="112" spans="1:11" s="238" customFormat="1" ht="16" customHeight="1" x14ac:dyDescent="0.2">
      <c r="A112" s="237"/>
      <c r="B112" s="234" t="s">
        <v>448</v>
      </c>
      <c r="C112" s="235">
        <v>0</v>
      </c>
      <c r="D112" s="236" t="s">
        <v>319</v>
      </c>
      <c r="E112" s="236" t="s">
        <v>5</v>
      </c>
      <c r="F112" s="236" t="s">
        <v>5</v>
      </c>
      <c r="G112" s="236" t="s">
        <v>6</v>
      </c>
      <c r="H112" s="236" t="s">
        <v>5</v>
      </c>
      <c r="I112" s="236" t="s">
        <v>322</v>
      </c>
      <c r="J112" s="231"/>
      <c r="K112" s="237"/>
    </row>
    <row r="113" spans="1:11" s="238" customFormat="1" ht="16" customHeight="1" x14ac:dyDescent="0.2">
      <c r="A113" s="237"/>
      <c r="B113" s="234" t="s">
        <v>449</v>
      </c>
      <c r="C113" s="235" t="s">
        <v>476</v>
      </c>
      <c r="D113" s="236" t="s">
        <v>287</v>
      </c>
      <c r="E113" s="236" t="s">
        <v>6</v>
      </c>
      <c r="F113" s="236" t="s">
        <v>5</v>
      </c>
      <c r="G113" s="236" t="s">
        <v>6</v>
      </c>
      <c r="H113" s="236" t="s">
        <v>5</v>
      </c>
      <c r="I113" s="236"/>
      <c r="J113" s="231"/>
      <c r="K113" s="237"/>
    </row>
    <row r="114" spans="1:11" s="238" customFormat="1" ht="16" customHeight="1" x14ac:dyDescent="0.2">
      <c r="A114" s="237"/>
      <c r="B114" s="234" t="s">
        <v>450</v>
      </c>
      <c r="C114" s="235">
        <v>0</v>
      </c>
      <c r="D114" s="236" t="s">
        <v>348</v>
      </c>
      <c r="E114" s="236"/>
      <c r="F114" s="236"/>
      <c r="G114" s="236"/>
      <c r="H114" s="236"/>
      <c r="I114" s="236" t="s">
        <v>445</v>
      </c>
      <c r="J114" s="231"/>
      <c r="K114" s="237"/>
    </row>
    <row r="115" spans="1:11" s="238" customFormat="1" ht="16" customHeight="1" x14ac:dyDescent="0.2">
      <c r="A115" s="237"/>
      <c r="B115" s="234" t="s">
        <v>451</v>
      </c>
      <c r="C115" s="235">
        <v>0</v>
      </c>
      <c r="D115" s="236" t="s">
        <v>296</v>
      </c>
      <c r="E115" s="236"/>
      <c r="F115" s="236"/>
      <c r="G115" s="236"/>
      <c r="H115" s="236"/>
      <c r="I115" s="236" t="s">
        <v>320</v>
      </c>
      <c r="J115" s="231"/>
      <c r="K115" s="237"/>
    </row>
    <row r="116" spans="1:11" s="238" customFormat="1" ht="16" customHeight="1" x14ac:dyDescent="0.2">
      <c r="A116" s="237"/>
      <c r="B116" s="234" t="s">
        <v>452</v>
      </c>
      <c r="C116" s="235" t="s">
        <v>476</v>
      </c>
      <c r="D116" s="236" t="s">
        <v>287</v>
      </c>
      <c r="E116" s="236" t="s">
        <v>6</v>
      </c>
      <c r="F116" s="236" t="s">
        <v>6</v>
      </c>
      <c r="G116" s="236" t="s">
        <v>6</v>
      </c>
      <c r="H116" s="236" t="s">
        <v>5</v>
      </c>
      <c r="I116" s="236"/>
      <c r="J116" s="231"/>
      <c r="K116" s="237"/>
    </row>
    <row r="117" spans="1:11" s="238" customFormat="1" ht="16" customHeight="1" x14ac:dyDescent="0.2">
      <c r="A117" s="237"/>
      <c r="B117" s="234" t="s">
        <v>453</v>
      </c>
      <c r="C117" s="235" t="s">
        <v>499</v>
      </c>
      <c r="D117" s="236">
        <v>95</v>
      </c>
      <c r="E117" s="236" t="s">
        <v>6</v>
      </c>
      <c r="F117" s="236" t="s">
        <v>6</v>
      </c>
      <c r="G117" s="236" t="s">
        <v>6</v>
      </c>
      <c r="H117" s="236" t="s">
        <v>5</v>
      </c>
      <c r="I117" s="236" t="s">
        <v>375</v>
      </c>
      <c r="J117" s="231"/>
      <c r="K117" s="237"/>
    </row>
    <row r="118" spans="1:11" s="238" customFormat="1" ht="16" customHeight="1" x14ac:dyDescent="0.2">
      <c r="A118" s="237"/>
      <c r="B118" s="234" t="s">
        <v>454</v>
      </c>
      <c r="C118" s="235">
        <v>10</v>
      </c>
      <c r="D118" s="236" t="s">
        <v>455</v>
      </c>
      <c r="E118" s="236" t="s">
        <v>6</v>
      </c>
      <c r="F118" s="236" t="s">
        <v>6</v>
      </c>
      <c r="G118" s="236" t="s">
        <v>6</v>
      </c>
      <c r="H118" s="236" t="s">
        <v>5</v>
      </c>
      <c r="I118" s="236" t="s">
        <v>456</v>
      </c>
      <c r="J118" s="231"/>
      <c r="K118" s="237"/>
    </row>
    <row r="119" spans="1:11" s="238" customFormat="1" ht="16" customHeight="1" x14ac:dyDescent="0.2">
      <c r="A119" s="237"/>
      <c r="B119" s="234" t="s">
        <v>457</v>
      </c>
      <c r="C119" s="235">
        <v>0</v>
      </c>
      <c r="D119" s="236" t="s">
        <v>287</v>
      </c>
      <c r="E119" s="236" t="s">
        <v>6</v>
      </c>
      <c r="F119" s="236" t="s">
        <v>6</v>
      </c>
      <c r="G119" s="236" t="s">
        <v>324</v>
      </c>
      <c r="H119" s="236" t="s">
        <v>6</v>
      </c>
      <c r="I119" s="236" t="s">
        <v>357</v>
      </c>
      <c r="J119" s="231"/>
      <c r="K119" s="237"/>
    </row>
    <row r="120" spans="1:11" s="238" customFormat="1" ht="16" customHeight="1" x14ac:dyDescent="0.2">
      <c r="A120" s="237"/>
      <c r="B120" s="234" t="s">
        <v>458</v>
      </c>
      <c r="C120" s="235" t="s">
        <v>480</v>
      </c>
      <c r="D120" s="236" t="s">
        <v>459</v>
      </c>
      <c r="E120" s="236" t="s">
        <v>6</v>
      </c>
      <c r="F120" s="236" t="s">
        <v>6</v>
      </c>
      <c r="G120" s="236" t="s">
        <v>6</v>
      </c>
      <c r="H120" s="236" t="s">
        <v>5</v>
      </c>
      <c r="I120" s="236" t="s">
        <v>460</v>
      </c>
      <c r="J120" s="231"/>
      <c r="K120" s="237"/>
    </row>
    <row r="121" spans="1:11" s="238" customFormat="1" ht="16" customHeight="1" x14ac:dyDescent="0.2">
      <c r="A121" s="237"/>
      <c r="B121" s="234" t="s">
        <v>461</v>
      </c>
      <c r="C121" s="235" t="s">
        <v>476</v>
      </c>
      <c r="D121" s="236" t="s">
        <v>287</v>
      </c>
      <c r="E121" s="236" t="s">
        <v>6</v>
      </c>
      <c r="F121" s="236" t="s">
        <v>6</v>
      </c>
      <c r="G121" s="236" t="s">
        <v>324</v>
      </c>
      <c r="H121" s="236" t="s">
        <v>6</v>
      </c>
      <c r="I121" s="236"/>
      <c r="J121" s="231"/>
      <c r="K121" s="237"/>
    </row>
    <row r="122" spans="1:11" s="238" customFormat="1" ht="16" customHeight="1" x14ac:dyDescent="0.2">
      <c r="A122" s="237"/>
      <c r="B122" s="234" t="s">
        <v>461</v>
      </c>
      <c r="C122" s="235" t="s">
        <v>483</v>
      </c>
      <c r="D122" s="236" t="s">
        <v>287</v>
      </c>
      <c r="E122" s="236" t="s">
        <v>6</v>
      </c>
      <c r="F122" s="236" t="s">
        <v>6</v>
      </c>
      <c r="G122" s="236" t="s">
        <v>324</v>
      </c>
      <c r="H122" s="236" t="s">
        <v>6</v>
      </c>
      <c r="I122" s="236"/>
      <c r="J122" s="231"/>
      <c r="K122" s="237"/>
    </row>
    <row r="123" spans="1:11" s="238" customFormat="1" ht="16" customHeight="1" x14ac:dyDescent="0.2">
      <c r="A123" s="237"/>
      <c r="B123" s="234" t="s">
        <v>462</v>
      </c>
      <c r="C123" s="235" t="s">
        <v>500</v>
      </c>
      <c r="D123" s="236" t="s">
        <v>287</v>
      </c>
      <c r="E123" s="236" t="s">
        <v>6</v>
      </c>
      <c r="F123" s="236" t="s">
        <v>6</v>
      </c>
      <c r="G123" s="236" t="s">
        <v>301</v>
      </c>
      <c r="H123" s="236" t="s">
        <v>5</v>
      </c>
      <c r="I123" s="236" t="s">
        <v>291</v>
      </c>
      <c r="J123" s="231" t="s">
        <v>508</v>
      </c>
      <c r="K123" s="237"/>
    </row>
    <row r="124" spans="1:11" s="238" customFormat="1" ht="16" customHeight="1" x14ac:dyDescent="0.2">
      <c r="A124" s="237"/>
      <c r="B124" s="234" t="s">
        <v>463</v>
      </c>
      <c r="C124" s="235" t="s">
        <v>500</v>
      </c>
      <c r="D124" s="236" t="s">
        <v>287</v>
      </c>
      <c r="E124" s="236" t="s">
        <v>6</v>
      </c>
      <c r="F124" s="236" t="s">
        <v>6</v>
      </c>
      <c r="G124" s="236" t="s">
        <v>306</v>
      </c>
      <c r="H124" s="236" t="s">
        <v>6</v>
      </c>
      <c r="I124" s="236" t="s">
        <v>464</v>
      </c>
      <c r="J124" s="231"/>
      <c r="K124" s="237"/>
    </row>
    <row r="125" spans="1:11" s="238" customFormat="1" ht="16" customHeight="1" x14ac:dyDescent="0.2">
      <c r="A125" s="237"/>
      <c r="B125" s="234" t="s">
        <v>465</v>
      </c>
      <c r="C125" s="235">
        <v>0</v>
      </c>
      <c r="D125" s="236" t="s">
        <v>296</v>
      </c>
      <c r="E125" s="236"/>
      <c r="F125" s="236"/>
      <c r="G125" s="236"/>
      <c r="H125" s="236"/>
      <c r="I125" s="236" t="s">
        <v>320</v>
      </c>
      <c r="J125" s="231"/>
      <c r="K125" s="237"/>
    </row>
    <row r="126" spans="1:11" s="238" customFormat="1" ht="16" customHeight="1" x14ac:dyDescent="0.2">
      <c r="A126" s="237"/>
      <c r="B126" s="234" t="s">
        <v>466</v>
      </c>
      <c r="C126" s="235">
        <v>0</v>
      </c>
      <c r="D126" s="236">
        <v>95</v>
      </c>
      <c r="E126" s="236" t="s">
        <v>5</v>
      </c>
      <c r="F126" s="236" t="s">
        <v>5</v>
      </c>
      <c r="G126" s="236" t="s">
        <v>6</v>
      </c>
      <c r="H126" s="236" t="s">
        <v>5</v>
      </c>
      <c r="I126" s="236" t="s">
        <v>294</v>
      </c>
      <c r="J126" s="231"/>
      <c r="K126" s="237"/>
    </row>
    <row r="127" spans="1:11" s="238" customFormat="1" ht="16" customHeight="1" x14ac:dyDescent="0.2">
      <c r="A127" s="237"/>
      <c r="B127" s="234" t="s">
        <v>467</v>
      </c>
      <c r="C127" s="235">
        <v>0</v>
      </c>
      <c r="D127" s="236" t="s">
        <v>296</v>
      </c>
      <c r="E127" s="236"/>
      <c r="F127" s="236"/>
      <c r="G127" s="236"/>
      <c r="H127" s="236"/>
      <c r="I127" s="236" t="s">
        <v>297</v>
      </c>
      <c r="J127" s="231"/>
      <c r="K127" s="237"/>
    </row>
    <row r="128" spans="1:11" s="238" customFormat="1" ht="16" customHeight="1" x14ac:dyDescent="0.2">
      <c r="A128" s="237"/>
      <c r="B128" s="239" t="s">
        <v>468</v>
      </c>
      <c r="C128" s="240" t="s">
        <v>500</v>
      </c>
      <c r="D128" s="241" t="s">
        <v>299</v>
      </c>
      <c r="E128" s="241" t="s">
        <v>6</v>
      </c>
      <c r="F128" s="241" t="s">
        <v>6</v>
      </c>
      <c r="G128" s="241" t="s">
        <v>6</v>
      </c>
      <c r="H128" s="241" t="s">
        <v>302</v>
      </c>
      <c r="I128" s="241"/>
      <c r="J128" s="233" t="s">
        <v>303</v>
      </c>
      <c r="K128" s="237"/>
    </row>
    <row r="129" spans="1:11" ht="16" x14ac:dyDescent="0.2">
      <c r="A129" s="137"/>
      <c r="B129" s="138"/>
      <c r="J129" s="140"/>
    </row>
    <row r="130" spans="1:11" ht="16" x14ac:dyDescent="0.2">
      <c r="A130" s="142"/>
      <c r="B130" s="143" t="s">
        <v>507</v>
      </c>
      <c r="C130" s="143"/>
      <c r="D130" s="143"/>
      <c r="E130" s="143"/>
      <c r="F130" s="143"/>
      <c r="G130" s="143"/>
      <c r="H130" s="143"/>
      <c r="I130" s="143"/>
      <c r="J130" s="143"/>
      <c r="K130" s="142"/>
    </row>
    <row r="131" spans="1:11" ht="16" x14ac:dyDescent="0.2">
      <c r="A131" s="144"/>
      <c r="B131" s="145" t="s">
        <v>511</v>
      </c>
      <c r="C131" s="145"/>
      <c r="D131" s="145"/>
      <c r="E131" s="145"/>
      <c r="F131" s="145"/>
      <c r="G131" s="145"/>
      <c r="H131" s="145"/>
      <c r="I131" s="145"/>
      <c r="J131" s="145"/>
      <c r="K131" s="144"/>
    </row>
    <row r="132" spans="1:11" ht="16" x14ac:dyDescent="0.2">
      <c r="A132" s="142"/>
      <c r="B132" s="143" t="s">
        <v>472</v>
      </c>
      <c r="C132" s="143"/>
      <c r="D132" s="143"/>
      <c r="E132" s="143"/>
      <c r="F132" s="143"/>
      <c r="G132" s="143"/>
      <c r="H132" s="143"/>
      <c r="I132" s="143"/>
      <c r="J132" s="143"/>
      <c r="K132" s="142"/>
    </row>
    <row r="133" spans="1:11" ht="16" x14ac:dyDescent="0.2">
      <c r="A133" s="146"/>
      <c r="B133" s="147"/>
      <c r="J133" s="140"/>
    </row>
    <row r="134" spans="1:11" ht="16" x14ac:dyDescent="0.2">
      <c r="A134" s="148"/>
      <c r="B134" s="149" t="s">
        <v>473</v>
      </c>
      <c r="J134" s="140"/>
    </row>
    <row r="135" spans="1:11" ht="16" x14ac:dyDescent="0.2">
      <c r="A135" s="150"/>
      <c r="B135" s="151" t="s">
        <v>469</v>
      </c>
      <c r="J135" s="140"/>
    </row>
    <row r="136" spans="1:11" ht="16" x14ac:dyDescent="0.2">
      <c r="A136" s="148"/>
      <c r="B136" s="149" t="s">
        <v>470</v>
      </c>
      <c r="J136" s="140"/>
    </row>
    <row r="137" spans="1:11" ht="16" x14ac:dyDescent="0.2">
      <c r="A137" s="148"/>
      <c r="B137" s="149"/>
      <c r="J137" s="140"/>
    </row>
    <row r="138" spans="1:11" ht="16" hidden="1" x14ac:dyDescent="0.2">
      <c r="A138" s="148"/>
      <c r="B138" s="149"/>
      <c r="J138" s="140"/>
    </row>
    <row r="139" spans="1:11" ht="16" hidden="1" x14ac:dyDescent="0.2">
      <c r="A139" s="148"/>
      <c r="B139" s="149"/>
      <c r="J139" s="140"/>
    </row>
    <row r="140" spans="1:11" ht="16" hidden="1" x14ac:dyDescent="0.2">
      <c r="A140" s="148"/>
      <c r="B140" s="149"/>
      <c r="J140" s="140"/>
    </row>
    <row r="141" spans="1:11" ht="16" hidden="1" x14ac:dyDescent="0.2">
      <c r="J141" s="140"/>
    </row>
    <row r="142" spans="1:11" ht="15" hidden="1" customHeight="1" x14ac:dyDescent="0.2">
      <c r="J142" s="140"/>
    </row>
    <row r="143" spans="1:11" ht="15" hidden="1" customHeight="1" x14ac:dyDescent="0.2">
      <c r="J143" s="140"/>
    </row>
    <row r="144" spans="1:11" ht="15" hidden="1" customHeight="1" x14ac:dyDescent="0.2">
      <c r="J144" s="140"/>
    </row>
  </sheetData>
  <sheetProtection sheet="1" objects="1" scenarios="1"/>
  <mergeCells count="2">
    <mergeCell ref="B2:J2"/>
    <mergeCell ref="B1:J1"/>
  </mergeCells>
  <hyperlinks>
    <hyperlink ref="B135" r:id="rId1" xr:uid="{00000000-0004-0000-0200-000000000000}"/>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Decision making tool</vt:lpstr>
      <vt:lpstr>Calculations</vt:lpstr>
      <vt:lpstr>Storage conditions</vt:lpstr>
    </vt:vector>
  </TitlesOfParts>
  <Company>D-Lab at 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Verploegen</dc:creator>
  <cp:lastModifiedBy>Microsoft Office User</cp:lastModifiedBy>
  <dcterms:created xsi:type="dcterms:W3CDTF">2017-09-02T01:41:33Z</dcterms:created>
  <dcterms:modified xsi:type="dcterms:W3CDTF">2018-06-07T19:53:21Z</dcterms:modified>
</cp:coreProperties>
</file>